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C:\Users\rsmith\Documents\HCP Anywhere\Misc\2019-12_401K_Post\"/>
    </mc:Choice>
  </mc:AlternateContent>
  <xr:revisionPtr revIDLastSave="0" documentId="13_ncr:1_{63E2E225-629D-4EF1-BFF5-5C137F0D86A7}" xr6:coauthVersionLast="45" xr6:coauthVersionMax="45" xr10:uidLastSave="{00000000-0000-0000-0000-000000000000}"/>
  <bookViews>
    <workbookView xWindow="-120" yWindow="-120" windowWidth="29040" windowHeight="15840" xr2:uid="{6F1A3513-F618-43CF-8148-B309199F58A3}"/>
  </bookViews>
  <sheets>
    <sheet name="401K Contribution Calculator" sheetId="2" r:id="rId1"/>
    <sheet name="401K Detailed Contributions" sheetId="3" r:id="rId2"/>
    <sheet name="401K General Reports" sheetId="1" r:id="rId3"/>
  </sheets>
  <definedNames>
    <definedName name="_xlnm.Print_Area" localSheetId="2">'401K General Reports'!$A$1:$J$55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43" i="3" l="1"/>
  <c r="X43" i="3"/>
  <c r="W43" i="3"/>
  <c r="V43" i="3"/>
  <c r="U43" i="3"/>
  <c r="T43" i="3"/>
  <c r="S43" i="3"/>
  <c r="R43" i="3"/>
  <c r="Q43" i="3"/>
  <c r="P43" i="3"/>
  <c r="O43" i="3"/>
  <c r="N43" i="3"/>
  <c r="M43" i="3"/>
  <c r="L43" i="3"/>
  <c r="K43" i="3"/>
  <c r="J43" i="3"/>
  <c r="I43" i="3"/>
  <c r="H43" i="3"/>
  <c r="G43" i="3"/>
  <c r="F43" i="3"/>
  <c r="E43" i="3"/>
  <c r="D43" i="3"/>
  <c r="C43" i="3"/>
  <c r="B43" i="3"/>
  <c r="A50" i="1" l="1"/>
  <c r="A49" i="1"/>
  <c r="C3" i="1" l="1"/>
  <c r="C2" i="1"/>
  <c r="B38" i="1"/>
  <c r="Y46" i="3"/>
  <c r="X46" i="3"/>
  <c r="W46" i="3"/>
  <c r="V46" i="3"/>
  <c r="U46" i="3"/>
  <c r="T46" i="3"/>
  <c r="S46" i="3"/>
  <c r="R46" i="3"/>
  <c r="Q46" i="3"/>
  <c r="P46" i="3"/>
  <c r="O46" i="3"/>
  <c r="N46" i="3"/>
  <c r="M46" i="3"/>
  <c r="L46" i="3"/>
  <c r="K46" i="3"/>
  <c r="J46" i="3"/>
  <c r="I46" i="3"/>
  <c r="H46" i="3"/>
  <c r="G46" i="3"/>
  <c r="F46" i="3"/>
  <c r="E46" i="3"/>
  <c r="D46" i="3"/>
  <c r="C46" i="3"/>
  <c r="B46" i="3"/>
  <c r="Y45" i="3"/>
  <c r="X45" i="3"/>
  <c r="W45" i="3"/>
  <c r="V45" i="3"/>
  <c r="U45" i="3"/>
  <c r="T45" i="3"/>
  <c r="S45" i="3"/>
  <c r="R45" i="3"/>
  <c r="Q45" i="3"/>
  <c r="P45" i="3"/>
  <c r="O45" i="3"/>
  <c r="N45" i="3"/>
  <c r="M45" i="3"/>
  <c r="L45" i="3"/>
  <c r="K45" i="3"/>
  <c r="J45" i="3"/>
  <c r="I45" i="3"/>
  <c r="H45" i="3"/>
  <c r="G45" i="3"/>
  <c r="F45" i="3"/>
  <c r="E45" i="3"/>
  <c r="D45" i="3"/>
  <c r="C45" i="3"/>
  <c r="B45" i="3"/>
  <c r="Y44" i="3"/>
  <c r="X44" i="3"/>
  <c r="W44" i="3"/>
  <c r="V44" i="3"/>
  <c r="U44" i="3"/>
  <c r="T44" i="3"/>
  <c r="S44" i="3"/>
  <c r="R44" i="3"/>
  <c r="Q44" i="3"/>
  <c r="P44" i="3"/>
  <c r="O44" i="3"/>
  <c r="N44" i="3"/>
  <c r="M44" i="3"/>
  <c r="L44" i="3"/>
  <c r="K44" i="3"/>
  <c r="J44" i="3"/>
  <c r="I44" i="3"/>
  <c r="H44" i="3"/>
  <c r="G44" i="3"/>
  <c r="F44" i="3"/>
  <c r="E44" i="3"/>
  <c r="D44" i="3"/>
  <c r="C44" i="3"/>
  <c r="B44" i="3"/>
  <c r="B36" i="3" s="1"/>
  <c r="B35" i="3" s="1"/>
  <c r="B50" i="1" l="1"/>
  <c r="B49" i="1"/>
  <c r="B40" i="3"/>
  <c r="C36" i="3" s="1"/>
  <c r="B37" i="3"/>
  <c r="B41" i="3" s="1"/>
  <c r="C20" i="2"/>
  <c r="C14" i="2" s="1"/>
  <c r="B39" i="3" l="1"/>
  <c r="C40" i="3"/>
  <c r="C15" i="2"/>
  <c r="A119" i="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C35" i="3" l="1"/>
  <c r="C39" i="3" s="1"/>
  <c r="D36" i="3"/>
  <c r="B45" i="1"/>
  <c r="B41" i="1"/>
  <c r="B40" i="1"/>
  <c r="A42" i="1"/>
  <c r="B42" i="1" s="1"/>
  <c r="G4" i="1"/>
  <c r="G11" i="1" s="1"/>
  <c r="C4" i="1"/>
  <c r="C11" i="1" s="1"/>
  <c r="B4" i="1"/>
  <c r="B9" i="1" s="1"/>
  <c r="G12" i="1"/>
  <c r="C12" i="1"/>
  <c r="B12" i="1"/>
  <c r="D35" i="3" l="1"/>
  <c r="D39" i="3" s="1"/>
  <c r="C37" i="3"/>
  <c r="C41" i="3" s="1"/>
  <c r="D40" i="3"/>
  <c r="B7" i="1"/>
  <c r="C10" i="1"/>
  <c r="C7" i="1"/>
  <c r="B6" i="1"/>
  <c r="C9" i="1"/>
  <c r="C6" i="1"/>
  <c r="B10" i="1"/>
  <c r="A43" i="1"/>
  <c r="A44" i="1" s="1"/>
  <c r="A46" i="1" s="1"/>
  <c r="A47" i="1" s="1"/>
  <c r="A48" i="1" s="1"/>
  <c r="B48" i="1" s="1"/>
  <c r="B8" i="1"/>
  <c r="B11" i="1"/>
  <c r="C8" i="1"/>
  <c r="G7" i="1"/>
  <c r="G9" i="1"/>
  <c r="G6" i="1"/>
  <c r="G8" i="1"/>
  <c r="G10" i="1"/>
  <c r="D5" i="1"/>
  <c r="D37" i="3" l="1"/>
  <c r="D41" i="3" s="1"/>
  <c r="E36" i="3"/>
  <c r="E35" i="3" s="1"/>
  <c r="B43" i="1"/>
  <c r="B46" i="1"/>
  <c r="B44" i="1"/>
  <c r="B47" i="1"/>
  <c r="D12" i="1"/>
  <c r="D4" i="1"/>
  <c r="E5" i="1"/>
  <c r="E40" i="3" l="1"/>
  <c r="F36" i="3" s="1"/>
  <c r="E39" i="3"/>
  <c r="E37" i="3"/>
  <c r="E41" i="3" s="1"/>
  <c r="E12" i="1"/>
  <c r="E4" i="1"/>
  <c r="F5" i="1"/>
  <c r="D7" i="1"/>
  <c r="D10" i="1"/>
  <c r="D6" i="1"/>
  <c r="D11" i="1"/>
  <c r="D9" i="1"/>
  <c r="D8" i="1"/>
  <c r="F35" i="3" l="1"/>
  <c r="F39" i="3" s="1"/>
  <c r="F40" i="3"/>
  <c r="F12" i="1"/>
  <c r="F4" i="1"/>
  <c r="H5" i="1"/>
  <c r="E10" i="1"/>
  <c r="E6" i="1"/>
  <c r="E9" i="1"/>
  <c r="E11" i="1"/>
  <c r="E7" i="1"/>
  <c r="E8" i="1"/>
  <c r="F37" i="3" l="1"/>
  <c r="F41" i="3" s="1"/>
  <c r="G36" i="3"/>
  <c r="G35" i="3" s="1"/>
  <c r="H12" i="1"/>
  <c r="I5" i="1"/>
  <c r="H4" i="1"/>
  <c r="F9" i="1"/>
  <c r="F8" i="1"/>
  <c r="F7" i="1"/>
  <c r="F10" i="1"/>
  <c r="F6" i="1"/>
  <c r="F11" i="1"/>
  <c r="G40" i="3" l="1"/>
  <c r="H36" i="3" s="1"/>
  <c r="H40" i="3" s="1"/>
  <c r="G39" i="3"/>
  <c r="G37" i="3"/>
  <c r="G41" i="3" s="1"/>
  <c r="H9" i="1"/>
  <c r="H7" i="1"/>
  <c r="H10" i="1"/>
  <c r="H11" i="1"/>
  <c r="H8" i="1"/>
  <c r="H6" i="1"/>
  <c r="J5" i="1"/>
  <c r="I4" i="1"/>
  <c r="I12" i="1"/>
  <c r="H35" i="3" l="1"/>
  <c r="I36" i="3"/>
  <c r="I8" i="1"/>
  <c r="I6" i="1"/>
  <c r="I9" i="1"/>
  <c r="I7" i="1"/>
  <c r="I10" i="1"/>
  <c r="I11" i="1"/>
  <c r="J12" i="1"/>
  <c r="J4" i="1"/>
  <c r="H37" i="3" l="1"/>
  <c r="H41" i="3" s="1"/>
  <c r="H39" i="3"/>
  <c r="I35" i="3" s="1"/>
  <c r="I40" i="3"/>
  <c r="J11" i="1"/>
  <c r="J10" i="1"/>
  <c r="J7" i="1"/>
  <c r="J6" i="1"/>
  <c r="J9" i="1"/>
  <c r="J8" i="1"/>
  <c r="I39" i="3" l="1"/>
  <c r="I37" i="3"/>
  <c r="I41" i="3" s="1"/>
  <c r="J36" i="3"/>
  <c r="J35" i="3" l="1"/>
  <c r="J37" i="3" s="1"/>
  <c r="J41" i="3" s="1"/>
  <c r="J40" i="3"/>
  <c r="J39" i="3" l="1"/>
  <c r="K36" i="3"/>
  <c r="K35" i="3" l="1"/>
  <c r="K39" i="3" s="1"/>
  <c r="K40" i="3"/>
  <c r="K37" i="3" l="1"/>
  <c r="K41" i="3" s="1"/>
  <c r="L36" i="3"/>
  <c r="L35" i="3" s="1"/>
  <c r="L40" i="3" l="1"/>
  <c r="L39" i="3"/>
  <c r="L37" i="3"/>
  <c r="L41" i="3" s="1"/>
  <c r="M36" i="3" l="1"/>
  <c r="M35" i="3" s="1"/>
  <c r="M37" i="3" l="1"/>
  <c r="M41" i="3" s="1"/>
  <c r="M39" i="3"/>
  <c r="M40" i="3"/>
  <c r="N36" i="3" l="1"/>
  <c r="N35" i="3" s="1"/>
  <c r="N39" i="3" l="1"/>
  <c r="N37" i="3"/>
  <c r="N41" i="3" s="1"/>
  <c r="N40" i="3"/>
  <c r="O36" i="3" l="1"/>
  <c r="O35" i="3" s="1"/>
  <c r="O40" i="3" l="1"/>
  <c r="P36" i="3" s="1"/>
  <c r="O39" i="3"/>
  <c r="O37" i="3"/>
  <c r="O41" i="3" s="1"/>
  <c r="P35" i="3" l="1"/>
  <c r="P39" i="3" s="1"/>
  <c r="P40" i="3"/>
  <c r="P37" i="3" l="1"/>
  <c r="P41" i="3" s="1"/>
  <c r="Q36" i="3"/>
  <c r="Q35" i="3" s="1"/>
  <c r="Q39" i="3" l="1"/>
  <c r="Q37" i="3"/>
  <c r="Q41" i="3" s="1"/>
  <c r="Q40" i="3"/>
  <c r="R36" i="3" l="1"/>
  <c r="R35" i="3" s="1"/>
  <c r="R37" i="3" l="1"/>
  <c r="R41" i="3" s="1"/>
  <c r="R39" i="3"/>
  <c r="R40" i="3"/>
  <c r="S36" i="3" l="1"/>
  <c r="S35" i="3" s="1"/>
  <c r="S40" i="3" l="1"/>
  <c r="T36" i="3" s="1"/>
  <c r="T40" i="3" s="1"/>
  <c r="S39" i="3"/>
  <c r="S37" i="3"/>
  <c r="S41" i="3" s="1"/>
  <c r="T35" i="3" l="1"/>
  <c r="U36" i="3"/>
  <c r="U40" i="3" s="1"/>
  <c r="V36" i="3" l="1"/>
  <c r="T37" i="3"/>
  <c r="T41" i="3" s="1"/>
  <c r="T39" i="3"/>
  <c r="U35" i="3" s="1"/>
  <c r="U37" i="3" l="1"/>
  <c r="U41" i="3" s="1"/>
  <c r="U39" i="3"/>
  <c r="V35" i="3" s="1"/>
  <c r="V40" i="3"/>
  <c r="V39" i="3" l="1"/>
  <c r="V37" i="3"/>
  <c r="V41" i="3" s="1"/>
  <c r="W36" i="3"/>
  <c r="W35" i="3" l="1"/>
  <c r="W39" i="3" s="1"/>
  <c r="W40" i="3"/>
  <c r="X36" i="3" s="1"/>
  <c r="X40" i="3" s="1"/>
  <c r="X35" i="3" l="1"/>
  <c r="W37" i="3"/>
  <c r="W41" i="3" s="1"/>
  <c r="Y36" i="3"/>
  <c r="Y40" i="3" s="1"/>
  <c r="Z40" i="3" s="1"/>
  <c r="C24" i="2" s="1"/>
  <c r="C31" i="2" l="1"/>
  <c r="C28" i="2"/>
  <c r="X37" i="3"/>
  <c r="X41" i="3" s="1"/>
  <c r="X39" i="3"/>
  <c r="Y35" i="3" s="1"/>
  <c r="Y39" i="3" l="1"/>
  <c r="Z35" i="3" s="1"/>
  <c r="Y37" i="3"/>
  <c r="Y41" i="3" s="1"/>
  <c r="Z37" i="3" l="1"/>
  <c r="Z41" i="3" s="1"/>
  <c r="Z39" i="3"/>
  <c r="C25" i="2" s="1"/>
  <c r="C26" i="2"/>
  <c r="C32" i="2" l="1"/>
  <c r="C33" i="2" s="1"/>
  <c r="C27" i="2"/>
</calcChain>
</file>

<file path=xl/sharedStrings.xml><?xml version="1.0" encoding="utf-8"?>
<sst xmlns="http://schemas.openxmlformats.org/spreadsheetml/2006/main" count="84" uniqueCount="83">
  <si>
    <t>True Up</t>
  </si>
  <si>
    <t>Max of 57,000 in 2020</t>
  </si>
  <si>
    <t>Max annual comp</t>
  </si>
  <si>
    <t>% Contribute</t>
  </si>
  <si>
    <t>Employer Match</t>
  </si>
  <si>
    <t>Employee Contribution</t>
  </si>
  <si>
    <t>Employer Match %</t>
  </si>
  <si>
    <t>Cumulative Employee</t>
  </si>
  <si>
    <t>Compensation</t>
  </si>
  <si>
    <t>Employee % to 401K</t>
  </si>
  <si>
    <t>Cumulative Employer</t>
  </si>
  <si>
    <t>Total Contributions</t>
  </si>
  <si>
    <t>Cumulative Total</t>
  </si>
  <si>
    <t>Jan 1</t>
  </si>
  <si>
    <t>Jan 15</t>
  </si>
  <si>
    <t>Feb 1</t>
  </si>
  <si>
    <t>Feb 15</t>
  </si>
  <si>
    <t>Mar 1</t>
  </si>
  <si>
    <t>Mar 15</t>
  </si>
  <si>
    <t>Apr 1</t>
  </si>
  <si>
    <t>Apr 15</t>
  </si>
  <si>
    <t>May 1</t>
  </si>
  <si>
    <t>May 15</t>
  </si>
  <si>
    <t>Jun 1</t>
  </si>
  <si>
    <t>Jun 15</t>
  </si>
  <si>
    <t>Jul 1</t>
  </si>
  <si>
    <t>Jul 15</t>
  </si>
  <si>
    <t>Aug 1</t>
  </si>
  <si>
    <t>Aug 15</t>
  </si>
  <si>
    <t>Sep 1</t>
  </si>
  <si>
    <t>Sep 15</t>
  </si>
  <si>
    <t>Oct 1</t>
  </si>
  <si>
    <t>Oct 15</t>
  </si>
  <si>
    <t>Nov 1</t>
  </si>
  <si>
    <t>Nov 15</t>
  </si>
  <si>
    <t>Dec 1</t>
  </si>
  <si>
    <t>Dec 15</t>
  </si>
  <si>
    <t>Total Employee Contributions</t>
  </si>
  <si>
    <t>Lost Employer Contributions</t>
  </si>
  <si>
    <t>Your 401K Contributions</t>
  </si>
  <si>
    <t>401K IRS Limit on Employee Contributions</t>
  </si>
  <si>
    <t>Total Yearly Contributions</t>
  </si>
  <si>
    <t>Maxed out 401K contributions on this date</t>
  </si>
  <si>
    <t>You could have contributed this much more</t>
  </si>
  <si>
    <t>Total missed 401K opportunity</t>
  </si>
  <si>
    <t>Missed 401K Savings Opportunity</t>
  </si>
  <si>
    <t>401K IRS Max Compensation for % Matching</t>
  </si>
  <si>
    <t>% Employee Contributions to 401K</t>
  </si>
  <si>
    <t>Employer will match X% of your contribution</t>
  </si>
  <si>
    <t>Employer Matching Information</t>
  </si>
  <si>
    <t>Employer Max Matching Up To %</t>
  </si>
  <si>
    <t>Max Employer Matching Amount ($0 to use IRS limit)</t>
  </si>
  <si>
    <t>Total Employer Matching Contributions</t>
  </si>
  <si>
    <t>401K Contribution Calculator</t>
  </si>
  <si>
    <t>By Ryan Smith (https://www.soothsawyer.com)</t>
  </si>
  <si>
    <t>DETAILED 401K CONTRIBUTION CALCULATIONS</t>
  </si>
  <si>
    <t>Max Employer Match based on your Employee Contributions</t>
  </si>
  <si>
    <t>Max Potential Match based on your compensation/IRS limits</t>
  </si>
  <si>
    <r>
      <t>Total Employer True-Up Contributions</t>
    </r>
    <r>
      <rPr>
        <sz val="12"/>
        <color rgb="FFFF0000"/>
        <rFont val="Calibri"/>
        <family val="2"/>
        <scheme val="minor"/>
      </rPr>
      <t xml:space="preserve"> (potential risk*)</t>
    </r>
  </si>
  <si>
    <t>IRS Limits for Tax Year (currently set for 2020)</t>
  </si>
  <si>
    <t>401K IRS Max Matching based on % Matching on Max Comp</t>
  </si>
  <si>
    <t>Your Yearly Employee Compensation (e.g., Salary, Bonus)</t>
  </si>
  <si>
    <t>This is using YTD method, not per paycheck</t>
  </si>
  <si>
    <t>e.g., If you contribute 3% and your match is 6%, you don't necessarily lose the 3% if you hit your max in year</t>
  </si>
  <si>
    <t>TODO: Verify this statement</t>
  </si>
  <si>
    <t>At matching of 7% and above for 285K+ comp'd employees, you hit the 19,500 limit.  Does that limit your matching to 19,500 or does it exceed 19,500?</t>
  </si>
  <si>
    <t>This would obviously kick in a match over 19,500 with the true-up payment since the employee would max out mid year.  But will the true-up allow employee to exceed?</t>
  </si>
  <si>
    <t>Max IRS Contribution:</t>
  </si>
  <si>
    <t>Salary</t>
  </si>
  <si>
    <t>% Matching by Employer</t>
  </si>
  <si>
    <t>% by Employee needed To Max Out at IRS Limit</t>
  </si>
  <si>
    <t>401K Detailed Contributions (based off Calculator tab)</t>
  </si>
  <si>
    <t>--&gt;You can Print the entire workbook &lt;--</t>
  </si>
  <si>
    <t>Max Employee Cont</t>
  </si>
  <si>
    <t>Top Compensation = IRS Max Annual Compensation Adjusted</t>
  </si>
  <si>
    <t>Bottom Compensation: Actual Employee Compensation</t>
  </si>
  <si>
    <t>https://re.tc/ryansmith</t>
  </si>
  <si>
    <t>Your Input (only modify orange &amp; blue fields)</t>
  </si>
  <si>
    <r>
      <rPr>
        <sz val="11"/>
        <color rgb="FFFF0000"/>
        <rFont val="Calibri"/>
        <family val="2"/>
        <scheme val="minor"/>
      </rPr>
      <t>* True-up Payments</t>
    </r>
    <r>
      <rPr>
        <b/>
        <sz val="11"/>
        <color theme="1"/>
        <rFont val="Calibri"/>
        <family val="2"/>
        <scheme val="minor"/>
      </rPr>
      <t xml:space="preserve"> are not given by all employers</t>
    </r>
    <r>
      <rPr>
        <sz val="11"/>
        <color theme="1"/>
        <rFont val="Calibri"/>
        <family val="2"/>
        <scheme val="minor"/>
      </rPr>
      <t xml:space="preserve"> (you should check) and if they do, you typically have to be employed on Dec 31 to qualify for this payment which typically occurs early in the following year. The days at risk you are taking is Dec 31 minus the date you maxed out; If you quit or were let go, you would forfit that money</t>
    </r>
  </si>
  <si>
    <t>Total that you put into 401K</t>
  </si>
  <si>
    <t>Compensation for match</t>
  </si>
  <si>
    <t>NOTE: Never contribute below your employer's matching levels in ordre to avoid missing out on matching</t>
  </si>
  <si>
    <t>Only fill out orange and blue fields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</si>
</sst>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164" formatCode="0.0%"/>
    <numFmt numFmtId="165" formatCode="_(&quot;$&quot;* #,##0_);_(&quot;$&quot;* \(#,##0\);_(&quot;$&quot;* &quot;-&quot;??_);_(@_)"/>
    <numFmt numFmtId="166" formatCode="#,##0.0,"/>
    <numFmt numFmtId="167" formatCode="#,##0,"/>
    <numFmt numFmtId="168" formatCode="mmm\ d;@"/>
    <numFmt numFmtId="169" formatCode="&quot;$&quot;#,##0.0,&quot;K&quot;"/>
    <numFmt numFmtId="170" formatCode="&quot;$&quot;#,##0,&quot;K&quot;"/>
  </numFmts>
  <fonts count="23" x14ac:knownFonts="1">
    <font>
      <sz val="11"/>
      <color theme="1"/>
      <name val="Calibri"/>
      <family val="2"/>
      <scheme val="minor"/>
    </font>
    <font>
      <sz val="11"/>
      <color theme="1"/>
      <name val="Calibri"/>
      <family val="2"/>
      <scheme val="minor"/>
    </font>
    <font>
      <sz val="11"/>
      <color rgb="FF3F3F76"/>
      <name val="Calibri"/>
      <family val="2"/>
      <scheme val="minor"/>
    </font>
    <font>
      <b/>
      <sz val="11"/>
      <color theme="1"/>
      <name val="Calibri"/>
      <family val="2"/>
      <scheme val="minor"/>
    </font>
    <font>
      <b/>
      <sz val="11"/>
      <color rgb="FFFF0000"/>
      <name val="Calibri"/>
      <family val="2"/>
      <scheme val="minor"/>
    </font>
    <font>
      <sz val="11"/>
      <color rgb="FFFF0000"/>
      <name val="Calibri"/>
      <family val="2"/>
      <scheme val="minor"/>
    </font>
    <font>
      <sz val="11"/>
      <color theme="0"/>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sz val="12"/>
      <color theme="1"/>
      <name val="Calibri"/>
      <family val="2"/>
      <scheme val="minor"/>
    </font>
    <font>
      <sz val="12"/>
      <color rgb="FFFF0000"/>
      <name val="Calibri"/>
      <family val="2"/>
      <scheme val="minor"/>
    </font>
    <font>
      <sz val="16"/>
      <color theme="1"/>
      <name val="Calibri"/>
      <family val="2"/>
      <scheme val="minor"/>
    </font>
    <font>
      <b/>
      <sz val="18"/>
      <color theme="0"/>
      <name val="Calibri"/>
      <family val="2"/>
      <scheme val="minor"/>
    </font>
    <font>
      <sz val="11"/>
      <color theme="0" tint="-0.499984740745262"/>
      <name val="Calibri"/>
      <family val="2"/>
      <scheme val="minor"/>
    </font>
    <font>
      <b/>
      <sz val="28"/>
      <color theme="1"/>
      <name val="Calibri"/>
      <family val="2"/>
      <scheme val="minor"/>
    </font>
    <font>
      <sz val="28"/>
      <color theme="1"/>
      <name val="Calibri"/>
      <family val="2"/>
      <scheme val="minor"/>
    </font>
    <font>
      <b/>
      <sz val="14"/>
      <color rgb="FF0070C0"/>
      <name val="Calibri"/>
      <family val="2"/>
      <scheme val="minor"/>
    </font>
    <font>
      <sz val="11"/>
      <color rgb="FF0070C0"/>
      <name val="Calibri"/>
      <family val="2"/>
      <scheme val="minor"/>
    </font>
    <font>
      <sz val="12"/>
      <name val="Calibri"/>
      <family val="2"/>
      <scheme val="minor"/>
    </font>
    <font>
      <u/>
      <sz val="11"/>
      <color theme="10"/>
      <name val="Calibri"/>
      <family val="2"/>
      <scheme val="minor"/>
    </font>
    <font>
      <sz val="16"/>
      <color rgb="FFFF0000"/>
      <name val="Calibri"/>
      <family val="2"/>
      <scheme val="minor"/>
    </font>
    <font>
      <b/>
      <sz val="12"/>
      <color rgb="FFFF0000"/>
      <name val="Calibri"/>
      <family val="2"/>
      <scheme val="minor"/>
    </font>
  </fonts>
  <fills count="9">
    <fill>
      <patternFill patternType="none"/>
    </fill>
    <fill>
      <patternFill patternType="gray125"/>
    </fill>
    <fill>
      <patternFill patternType="solid">
        <fgColor rgb="FFFFCC99"/>
      </patternFill>
    </fill>
    <fill>
      <patternFill patternType="solid">
        <fgColor rgb="FFFFFFCC"/>
      </patternFill>
    </fill>
    <fill>
      <patternFill patternType="solid">
        <fgColor theme="1"/>
        <bgColor indexed="64"/>
      </patternFill>
    </fill>
    <fill>
      <patternFill patternType="solid">
        <fgColor theme="0" tint="-0.34998626667073579"/>
        <bgColor indexed="64"/>
      </patternFill>
    </fill>
    <fill>
      <patternFill patternType="solid">
        <fgColor theme="4" tint="-0.249977111117893"/>
        <bgColor indexed="64"/>
      </patternFill>
    </fill>
    <fill>
      <patternFill patternType="solid">
        <fgColor rgb="FFFF0000"/>
        <bgColor indexed="64"/>
      </patternFill>
    </fill>
    <fill>
      <patternFill patternType="solid">
        <fgColor theme="4" tint="0.79998168889431442"/>
        <bgColor indexed="64"/>
      </patternFill>
    </fill>
  </fills>
  <borders count="7">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6">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2" borderId="1" applyNumberFormat="0" applyAlignment="0" applyProtection="0"/>
    <xf numFmtId="0" fontId="1" fillId="3" borderId="2" applyNumberFormat="0" applyFont="0" applyAlignment="0" applyProtection="0"/>
    <xf numFmtId="0" fontId="20" fillId="0" borderId="0" applyNumberFormat="0" applyFill="0" applyBorder="0" applyAlignment="0" applyProtection="0"/>
  </cellStyleXfs>
  <cellXfs count="68">
    <xf numFmtId="0" fontId="0" fillId="0" borderId="0" xfId="0"/>
    <xf numFmtId="0" fontId="3" fillId="0" borderId="0" xfId="0" applyFont="1"/>
    <xf numFmtId="44" fontId="0" fillId="0" borderId="0" xfId="1" applyFont="1"/>
    <xf numFmtId="44" fontId="3" fillId="0" borderId="0" xfId="1" applyFont="1"/>
    <xf numFmtId="9" fontId="0" fillId="0" borderId="0" xfId="0" applyNumberFormat="1"/>
    <xf numFmtId="44" fontId="0" fillId="0" borderId="0" xfId="0" applyNumberFormat="1"/>
    <xf numFmtId="9" fontId="0" fillId="0" borderId="0" xfId="2" applyFont="1"/>
    <xf numFmtId="164" fontId="0" fillId="0" borderId="0" xfId="2" applyNumberFormat="1" applyFont="1"/>
    <xf numFmtId="0" fontId="0" fillId="0" borderId="0" xfId="0" applyFont="1"/>
    <xf numFmtId="165" fontId="0" fillId="0" borderId="0" xfId="1" applyNumberFormat="1" applyFont="1"/>
    <xf numFmtId="165" fontId="3" fillId="0" borderId="0" xfId="1" applyNumberFormat="1" applyFont="1"/>
    <xf numFmtId="9" fontId="3" fillId="0" borderId="0" xfId="0" applyNumberFormat="1" applyFont="1"/>
    <xf numFmtId="166" fontId="0" fillId="0" borderId="0" xfId="1" applyNumberFormat="1" applyFont="1"/>
    <xf numFmtId="167" fontId="0" fillId="0" borderId="0" xfId="1" applyNumberFormat="1" applyFont="1"/>
    <xf numFmtId="10" fontId="0" fillId="0" borderId="0" xfId="2" applyNumberFormat="1" applyFont="1"/>
    <xf numFmtId="44" fontId="4" fillId="0" borderId="0" xfId="1" applyFont="1"/>
    <xf numFmtId="165" fontId="2" fillId="2" borderId="1" xfId="3" applyNumberFormat="1"/>
    <xf numFmtId="9" fontId="2" fillId="2" borderId="1" xfId="3" applyNumberFormat="1"/>
    <xf numFmtId="168" fontId="0" fillId="0" borderId="0" xfId="0" applyNumberFormat="1"/>
    <xf numFmtId="169" fontId="0" fillId="0" borderId="0" xfId="0" applyNumberFormat="1"/>
    <xf numFmtId="9" fontId="0" fillId="3" borderId="2" xfId="4" applyNumberFormat="1" applyFont="1"/>
    <xf numFmtId="44" fontId="6" fillId="4" borderId="0" xfId="1" applyFont="1" applyFill="1" applyAlignment="1">
      <alignment horizontal="center"/>
    </xf>
    <xf numFmtId="49" fontId="6" fillId="5" borderId="0" xfId="0" applyNumberFormat="1" applyFont="1" applyFill="1" applyAlignment="1">
      <alignment horizontal="right"/>
    </xf>
    <xf numFmtId="49" fontId="6" fillId="6" borderId="0" xfId="0" applyNumberFormat="1" applyFont="1" applyFill="1" applyAlignment="1">
      <alignment horizontal="right"/>
    </xf>
    <xf numFmtId="165" fontId="0" fillId="0" borderId="0" xfId="0" applyNumberFormat="1"/>
    <xf numFmtId="165" fontId="5" fillId="0" borderId="0" xfId="1" applyNumberFormat="1" applyFont="1" applyAlignment="1">
      <alignment horizontal="right"/>
    </xf>
    <xf numFmtId="165" fontId="5" fillId="0" borderId="0" xfId="0" applyNumberFormat="1" applyFont="1"/>
    <xf numFmtId="44" fontId="6" fillId="7" borderId="0" xfId="1" applyFont="1" applyFill="1" applyAlignment="1">
      <alignment horizontal="center"/>
    </xf>
    <xf numFmtId="0" fontId="5" fillId="0" borderId="0" xfId="0" applyNumberFormat="1" applyFont="1" applyAlignment="1"/>
    <xf numFmtId="0" fontId="0" fillId="0" borderId="0" xfId="1" applyNumberFormat="1" applyFont="1"/>
    <xf numFmtId="0" fontId="0" fillId="0" borderId="0" xfId="1" applyNumberFormat="1" applyFont="1" applyFill="1" applyBorder="1"/>
    <xf numFmtId="0" fontId="0" fillId="0" borderId="0" xfId="0" applyNumberFormat="1"/>
    <xf numFmtId="0" fontId="1" fillId="0" borderId="0" xfId="1" applyNumberFormat="1" applyFont="1"/>
    <xf numFmtId="0" fontId="5" fillId="0" borderId="0" xfId="0" applyNumberFormat="1" applyFont="1"/>
    <xf numFmtId="44" fontId="6" fillId="4" borderId="0" xfId="1" applyFont="1" applyFill="1" applyAlignment="1"/>
    <xf numFmtId="0" fontId="8" fillId="0" borderId="0" xfId="0" applyFont="1"/>
    <xf numFmtId="0" fontId="10" fillId="0" borderId="0" xfId="1" applyNumberFormat="1" applyFont="1"/>
    <xf numFmtId="0" fontId="10" fillId="0" borderId="0" xfId="1" applyNumberFormat="1" applyFont="1" applyFill="1" applyBorder="1"/>
    <xf numFmtId="0" fontId="10" fillId="0" borderId="0" xfId="0" applyNumberFormat="1" applyFont="1"/>
    <xf numFmtId="165" fontId="12" fillId="0" borderId="0" xfId="0" applyNumberFormat="1" applyFont="1"/>
    <xf numFmtId="0" fontId="12" fillId="0" borderId="0" xfId="0" applyFont="1" applyAlignment="1">
      <alignment horizontal="center"/>
    </xf>
    <xf numFmtId="44" fontId="13" fillId="4" borderId="0" xfId="1" applyFont="1" applyFill="1" applyAlignment="1">
      <alignment horizontal="center"/>
    </xf>
    <xf numFmtId="0" fontId="13" fillId="7" borderId="0" xfId="1" applyNumberFormat="1" applyFont="1" applyFill="1" applyAlignment="1">
      <alignment horizontal="center"/>
    </xf>
    <xf numFmtId="0" fontId="8" fillId="0" borderId="0" xfId="1" applyNumberFormat="1" applyFont="1"/>
    <xf numFmtId="0" fontId="8" fillId="0" borderId="0" xfId="0" applyNumberFormat="1" applyFont="1"/>
    <xf numFmtId="0" fontId="8" fillId="0" borderId="0" xfId="1" applyNumberFormat="1" applyFont="1" applyFill="1" applyBorder="1"/>
    <xf numFmtId="0" fontId="14" fillId="0" borderId="0" xfId="1" applyNumberFormat="1" applyFont="1" applyFill="1" applyBorder="1"/>
    <xf numFmtId="165" fontId="14" fillId="0" borderId="0" xfId="0" applyNumberFormat="1" applyFont="1"/>
    <xf numFmtId="165" fontId="2" fillId="8" borderId="1" xfId="3" applyNumberFormat="1" applyFill="1"/>
    <xf numFmtId="9" fontId="2" fillId="8" borderId="1" xfId="3" applyNumberFormat="1" applyFill="1"/>
    <xf numFmtId="165" fontId="2" fillId="8" borderId="1" xfId="1" applyNumberFormat="1" applyFont="1" applyFill="1" applyBorder="1"/>
    <xf numFmtId="0" fontId="0" fillId="0" borderId="0" xfId="0" applyAlignment="1">
      <alignment wrapText="1"/>
    </xf>
    <xf numFmtId="165" fontId="0" fillId="3" borderId="2" xfId="4" applyNumberFormat="1" applyFont="1"/>
    <xf numFmtId="0" fontId="15" fillId="0" borderId="0" xfId="0" applyFont="1"/>
    <xf numFmtId="0" fontId="16" fillId="0" borderId="0" xfId="0" applyFont="1"/>
    <xf numFmtId="0" fontId="0" fillId="0" borderId="0" xfId="0" applyAlignment="1">
      <alignment horizontal="right"/>
    </xf>
    <xf numFmtId="0" fontId="3" fillId="0" borderId="0" xfId="0" applyFont="1" applyAlignment="1">
      <alignment horizontal="right"/>
    </xf>
    <xf numFmtId="0" fontId="17" fillId="0" borderId="0" xfId="0" quotePrefix="1" applyFont="1"/>
    <xf numFmtId="9" fontId="18" fillId="0" borderId="0" xfId="0" applyNumberFormat="1" applyFont="1"/>
    <xf numFmtId="0" fontId="18" fillId="0" borderId="0" xfId="0" applyFont="1"/>
    <xf numFmtId="0" fontId="19" fillId="0" borderId="0" xfId="1" applyNumberFormat="1" applyFont="1" applyFill="1" applyBorder="1"/>
    <xf numFmtId="0" fontId="20" fillId="0" borderId="0" xfId="5"/>
    <xf numFmtId="170" fontId="0" fillId="0" borderId="0" xfId="1" applyNumberFormat="1" applyFont="1"/>
    <xf numFmtId="165" fontId="21" fillId="0" borderId="0" xfId="0" applyNumberFormat="1" applyFont="1"/>
    <xf numFmtId="0" fontId="7" fillId="0" borderId="3" xfId="0" applyNumberFormat="1" applyFont="1" applyBorder="1"/>
    <xf numFmtId="165" fontId="9" fillId="0" borderId="4" xfId="0" applyNumberFormat="1" applyFont="1" applyBorder="1"/>
    <xf numFmtId="165" fontId="4" fillId="0" borderId="6" xfId="0" applyNumberFormat="1" applyFont="1" applyBorder="1"/>
    <xf numFmtId="0" fontId="22" fillId="0" borderId="5" xfId="0" applyNumberFormat="1" applyFont="1" applyBorder="1"/>
  </cellXfs>
  <cellStyles count="6">
    <cellStyle name="Currency" xfId="1" builtinId="4"/>
    <cellStyle name="Hyperlink" xfId="5" builtinId="8"/>
    <cellStyle name="Input" xfId="3" builtinId="20"/>
    <cellStyle name="Normal" xfId="0" builtinId="0"/>
    <cellStyle name="Note" xfId="4" builtinId="1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en-US" sz="1600" b="1"/>
              <a:t>401K Contributions,</a:t>
            </a:r>
            <a:r>
              <a:rPr lang="en-US" sz="1600" b="1" baseline="0"/>
              <a:t> by Paycheck</a:t>
            </a:r>
            <a:endParaRPr lang="en-US" sz="1600" b="1"/>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1"/>
          <c:order val="0"/>
          <c:tx>
            <c:strRef>
              <c:f>'401K Detailed Contributions'!$A$36</c:f>
              <c:strCache>
                <c:ptCount val="1"/>
                <c:pt idx="0">
                  <c:v>Employee Contribution</c:v>
                </c:pt>
              </c:strCache>
            </c:strRef>
          </c:tx>
          <c:spPr>
            <a:solidFill>
              <a:schemeClr val="accent2"/>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'401K Detailed Contributions'!$B$34:$Z$34</c:f>
              <c:strCache>
                <c:ptCount val="25"/>
                <c:pt idx="0">
                  <c:v>Jan 1</c:v>
                </c:pt>
                <c:pt idx="1">
                  <c:v>Jan 15</c:v>
                </c:pt>
                <c:pt idx="2">
                  <c:v>Feb 1</c:v>
                </c:pt>
                <c:pt idx="3">
                  <c:v>Feb 15</c:v>
                </c:pt>
                <c:pt idx="4">
                  <c:v>Mar 1</c:v>
                </c:pt>
                <c:pt idx="5">
                  <c:v>Mar 15</c:v>
                </c:pt>
                <c:pt idx="6">
                  <c:v>Apr 1</c:v>
                </c:pt>
                <c:pt idx="7">
                  <c:v>Apr 15</c:v>
                </c:pt>
                <c:pt idx="8">
                  <c:v>May 1</c:v>
                </c:pt>
                <c:pt idx="9">
                  <c:v>May 15</c:v>
                </c:pt>
                <c:pt idx="10">
                  <c:v>Jun 1</c:v>
                </c:pt>
                <c:pt idx="11">
                  <c:v>Jun 15</c:v>
                </c:pt>
                <c:pt idx="12">
                  <c:v>Jul 1</c:v>
                </c:pt>
                <c:pt idx="13">
                  <c:v>Jul 15</c:v>
                </c:pt>
                <c:pt idx="14">
                  <c:v>Aug 1</c:v>
                </c:pt>
                <c:pt idx="15">
                  <c:v>Aug 15</c:v>
                </c:pt>
                <c:pt idx="16">
                  <c:v>Sep 1</c:v>
                </c:pt>
                <c:pt idx="17">
                  <c:v>Sep 15</c:v>
                </c:pt>
                <c:pt idx="18">
                  <c:v>Oct 1</c:v>
                </c:pt>
                <c:pt idx="19">
                  <c:v>Oct 15</c:v>
                </c:pt>
                <c:pt idx="20">
                  <c:v>Nov 1</c:v>
                </c:pt>
                <c:pt idx="21">
                  <c:v>Nov 15</c:v>
                </c:pt>
                <c:pt idx="22">
                  <c:v>Dec 1</c:v>
                </c:pt>
                <c:pt idx="23">
                  <c:v>Dec 15</c:v>
                </c:pt>
                <c:pt idx="24">
                  <c:v>True Up</c:v>
                </c:pt>
              </c:strCache>
            </c:strRef>
          </c:cat>
          <c:val>
            <c:numRef>
              <c:f>'401K Detailed Contributions'!$B$36:$Z$36</c:f>
              <c:numCache>
                <c:formatCode>_("$"* #,##0_);_("$"* \(#,##0\);_("$"* "-"??_);_(@_)</c:formatCode>
                <c:ptCount val="25"/>
                <c:pt idx="0">
                  <c:v>1781.25</c:v>
                </c:pt>
                <c:pt idx="1">
                  <c:v>1781.25</c:v>
                </c:pt>
                <c:pt idx="2">
                  <c:v>1781.25</c:v>
                </c:pt>
                <c:pt idx="3">
                  <c:v>1781.25</c:v>
                </c:pt>
                <c:pt idx="4">
                  <c:v>1781.25</c:v>
                </c:pt>
                <c:pt idx="5">
                  <c:v>1781.25</c:v>
                </c:pt>
                <c:pt idx="6">
                  <c:v>1781.25</c:v>
                </c:pt>
                <c:pt idx="7">
                  <c:v>1781.25</c:v>
                </c:pt>
                <c:pt idx="8">
                  <c:v>1781.25</c:v>
                </c:pt>
                <c:pt idx="9">
                  <c:v>1781.25</c:v>
                </c:pt>
                <c:pt idx="10">
                  <c:v>1687.5</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0-EC5B-4360-986E-5B19FF176D99}"/>
            </c:ext>
          </c:extLst>
        </c:ser>
        <c:ser>
          <c:idx val="0"/>
          <c:order val="1"/>
          <c:tx>
            <c:strRef>
              <c:f>'401K Detailed Contributions'!$A$35</c:f>
              <c:strCache>
                <c:ptCount val="1"/>
                <c:pt idx="0">
                  <c:v>Employer Match</c:v>
                </c:pt>
              </c:strCache>
            </c:strRef>
          </c:tx>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'401K Detailed Contributions'!$B$34:$Z$34</c:f>
              <c:strCache>
                <c:ptCount val="25"/>
                <c:pt idx="0">
                  <c:v>Jan 1</c:v>
                </c:pt>
                <c:pt idx="1">
                  <c:v>Jan 15</c:v>
                </c:pt>
                <c:pt idx="2">
                  <c:v>Feb 1</c:v>
                </c:pt>
                <c:pt idx="3">
                  <c:v>Feb 15</c:v>
                </c:pt>
                <c:pt idx="4">
                  <c:v>Mar 1</c:v>
                </c:pt>
                <c:pt idx="5">
                  <c:v>Mar 15</c:v>
                </c:pt>
                <c:pt idx="6">
                  <c:v>Apr 1</c:v>
                </c:pt>
                <c:pt idx="7">
                  <c:v>Apr 15</c:v>
                </c:pt>
                <c:pt idx="8">
                  <c:v>May 1</c:v>
                </c:pt>
                <c:pt idx="9">
                  <c:v>May 15</c:v>
                </c:pt>
                <c:pt idx="10">
                  <c:v>Jun 1</c:v>
                </c:pt>
                <c:pt idx="11">
                  <c:v>Jun 15</c:v>
                </c:pt>
                <c:pt idx="12">
                  <c:v>Jul 1</c:v>
                </c:pt>
                <c:pt idx="13">
                  <c:v>Jul 15</c:v>
                </c:pt>
                <c:pt idx="14">
                  <c:v>Aug 1</c:v>
                </c:pt>
                <c:pt idx="15">
                  <c:v>Aug 15</c:v>
                </c:pt>
                <c:pt idx="16">
                  <c:v>Sep 1</c:v>
                </c:pt>
                <c:pt idx="17">
                  <c:v>Sep 15</c:v>
                </c:pt>
                <c:pt idx="18">
                  <c:v>Oct 1</c:v>
                </c:pt>
                <c:pt idx="19">
                  <c:v>Oct 15</c:v>
                </c:pt>
                <c:pt idx="20">
                  <c:v>Nov 1</c:v>
                </c:pt>
                <c:pt idx="21">
                  <c:v>Nov 15</c:v>
                </c:pt>
                <c:pt idx="22">
                  <c:v>Dec 1</c:v>
                </c:pt>
                <c:pt idx="23">
                  <c:v>Dec 15</c:v>
                </c:pt>
                <c:pt idx="24">
                  <c:v>True Up</c:v>
                </c:pt>
              </c:strCache>
            </c:strRef>
          </c:cat>
          <c:val>
            <c:numRef>
              <c:f>'401K Detailed Contributions'!$B$35:$Z$35</c:f>
              <c:numCache>
                <c:formatCode>_("$"* #,##0_);_("$"* \(#,##0\);_("$"* "-"??_);_(@_)</c:formatCode>
                <c:ptCount val="25"/>
                <c:pt idx="0">
                  <c:v>712.5</c:v>
                </c:pt>
                <c:pt idx="1">
                  <c:v>712.5</c:v>
                </c:pt>
                <c:pt idx="2">
                  <c:v>712.5</c:v>
                </c:pt>
                <c:pt idx="3">
                  <c:v>712.5</c:v>
                </c:pt>
                <c:pt idx="4">
                  <c:v>712.5</c:v>
                </c:pt>
                <c:pt idx="5">
                  <c:v>712.5</c:v>
                </c:pt>
                <c:pt idx="6">
                  <c:v>712.5</c:v>
                </c:pt>
                <c:pt idx="7">
                  <c:v>712.5</c:v>
                </c:pt>
                <c:pt idx="8">
                  <c:v>712.5</c:v>
                </c:pt>
                <c:pt idx="9">
                  <c:v>712.5</c:v>
                </c:pt>
                <c:pt idx="10">
                  <c:v>712.5</c:v>
                </c:pt>
                <c:pt idx="11">
                  <c:v>0</c:v>
                </c:pt>
                <c:pt idx="12">
                  <c:v>0</c:v>
                </c:pt>
                <c:pt idx="13">
                  <c:v>0</c:v>
                </c:pt>
                <c:pt idx="14">
                  <c:v>0</c:v>
                </c:pt>
                <c:pt idx="15">
                  <c:v>0</c:v>
                </c:pt>
                <c:pt idx="16">
                  <c:v>0</c:v>
                </c:pt>
                <c:pt idx="17">
                  <c:v>0</c:v>
                </c:pt>
                <c:pt idx="18">
                  <c:v>0</c:v>
                </c:pt>
                <c:pt idx="19">
                  <c:v>0</c:v>
                </c:pt>
                <c:pt idx="20">
                  <c:v>0</c:v>
                </c:pt>
                <c:pt idx="21">
                  <c:v>0</c:v>
                </c:pt>
                <c:pt idx="22">
                  <c:v>0</c:v>
                </c:pt>
                <c:pt idx="23">
                  <c:v>0</c:v>
                </c:pt>
                <c:pt idx="24">
                  <c:v>9262.5</c:v>
                </c:pt>
              </c:numCache>
            </c:numRef>
          </c:val>
          <c:extLst>
            <c:ext xmlns:c16="http://schemas.microsoft.com/office/drawing/2014/chart" uri="{C3380CC4-5D6E-409C-BE32-E72D297353CC}">
              <c16:uniqueId val="{00000001-EC5B-4360-986E-5B19FF176D99}"/>
            </c:ext>
          </c:extLst>
        </c:ser>
        <c:dLbls>
          <c:showLegendKey val="0"/>
          <c:showVal val="0"/>
          <c:showCatName val="0"/>
          <c:showSerName val="0"/>
          <c:showPercent val="0"/>
          <c:showBubbleSize val="0"/>
        </c:dLbls>
        <c:gapWidth val="219"/>
        <c:overlap val="100"/>
        <c:axId val="975782768"/>
        <c:axId val="975786048"/>
      </c:barChart>
      <c:lineChart>
        <c:grouping val="standard"/>
        <c:varyColors val="0"/>
        <c:ser>
          <c:idx val="3"/>
          <c:order val="2"/>
          <c:tx>
            <c:strRef>
              <c:f>'401K Detailed Contributions'!$A$37</c:f>
              <c:strCache>
                <c:ptCount val="1"/>
                <c:pt idx="0">
                  <c:v>Total Contributions</c:v>
                </c:pt>
              </c:strCache>
            </c:strRef>
          </c:tx>
          <c:spPr>
            <a:ln w="28575"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bg2">
                        <a:lumMod val="50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'401K Detailed Contributions'!$B$34:$Z$34</c:f>
              <c:strCache>
                <c:ptCount val="25"/>
                <c:pt idx="0">
                  <c:v>Jan 1</c:v>
                </c:pt>
                <c:pt idx="1">
                  <c:v>Jan 15</c:v>
                </c:pt>
                <c:pt idx="2">
                  <c:v>Feb 1</c:v>
                </c:pt>
                <c:pt idx="3">
                  <c:v>Feb 15</c:v>
                </c:pt>
                <c:pt idx="4">
                  <c:v>Mar 1</c:v>
                </c:pt>
                <c:pt idx="5">
                  <c:v>Mar 15</c:v>
                </c:pt>
                <c:pt idx="6">
                  <c:v>Apr 1</c:v>
                </c:pt>
                <c:pt idx="7">
                  <c:v>Apr 15</c:v>
                </c:pt>
                <c:pt idx="8">
                  <c:v>May 1</c:v>
                </c:pt>
                <c:pt idx="9">
                  <c:v>May 15</c:v>
                </c:pt>
                <c:pt idx="10">
                  <c:v>Jun 1</c:v>
                </c:pt>
                <c:pt idx="11">
                  <c:v>Jun 15</c:v>
                </c:pt>
                <c:pt idx="12">
                  <c:v>Jul 1</c:v>
                </c:pt>
                <c:pt idx="13">
                  <c:v>Jul 15</c:v>
                </c:pt>
                <c:pt idx="14">
                  <c:v>Aug 1</c:v>
                </c:pt>
                <c:pt idx="15">
                  <c:v>Aug 15</c:v>
                </c:pt>
                <c:pt idx="16">
                  <c:v>Sep 1</c:v>
                </c:pt>
                <c:pt idx="17">
                  <c:v>Sep 15</c:v>
                </c:pt>
                <c:pt idx="18">
                  <c:v>Oct 1</c:v>
                </c:pt>
                <c:pt idx="19">
                  <c:v>Oct 15</c:v>
                </c:pt>
                <c:pt idx="20">
                  <c:v>Nov 1</c:v>
                </c:pt>
                <c:pt idx="21">
                  <c:v>Nov 15</c:v>
                </c:pt>
                <c:pt idx="22">
                  <c:v>Dec 1</c:v>
                </c:pt>
                <c:pt idx="23">
                  <c:v>Dec 15</c:v>
                </c:pt>
                <c:pt idx="24">
                  <c:v>True Up</c:v>
                </c:pt>
              </c:strCache>
            </c:strRef>
          </c:cat>
          <c:val>
            <c:numRef>
              <c:f>'401K Detailed Contributions'!$B$37:$Z$37</c:f>
              <c:numCache>
                <c:formatCode>"$"#,##0.0,"K"</c:formatCode>
                <c:ptCount val="25"/>
                <c:pt idx="0">
                  <c:v>2493.75</c:v>
                </c:pt>
                <c:pt idx="1">
                  <c:v>2493.75</c:v>
                </c:pt>
                <c:pt idx="2">
                  <c:v>2493.75</c:v>
                </c:pt>
                <c:pt idx="3">
                  <c:v>2493.75</c:v>
                </c:pt>
                <c:pt idx="4">
                  <c:v>2493.75</c:v>
                </c:pt>
                <c:pt idx="5">
                  <c:v>2493.75</c:v>
                </c:pt>
                <c:pt idx="6">
                  <c:v>2493.75</c:v>
                </c:pt>
                <c:pt idx="7">
                  <c:v>2493.75</c:v>
                </c:pt>
                <c:pt idx="8">
                  <c:v>2493.75</c:v>
                </c:pt>
                <c:pt idx="9">
                  <c:v>2493.75</c:v>
                </c:pt>
                <c:pt idx="10">
                  <c:v>2400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9262.5</c:v>
                </c:pt>
              </c:numCache>
            </c:numRef>
          </c:val>
          <c:smooth val="0"/>
          <c:extLst>
            <c:ext xmlns:c16="http://schemas.microsoft.com/office/drawing/2014/chart" uri="{C3380CC4-5D6E-409C-BE32-E72D297353CC}">
              <c16:uniqueId val="{00000002-EC5B-4360-986E-5B19FF176D99}"/>
            </c:ext>
          </c:extLst>
        </c:ser>
        <c:dLbls>
          <c:showLegendKey val="0"/>
          <c:showVal val="0"/>
          <c:showCatName val="0"/>
          <c:showSerName val="0"/>
          <c:showPercent val="0"/>
          <c:showBubbleSize val="0"/>
        </c:dLbls>
        <c:marker val="1"/>
        <c:smooth val="0"/>
        <c:axId val="975782768"/>
        <c:axId val="975786048"/>
      </c:lineChart>
      <c:lineChart>
        <c:grouping val="standard"/>
        <c:varyColors val="0"/>
        <c:ser>
          <c:idx val="4"/>
          <c:order val="3"/>
          <c:tx>
            <c:strRef>
              <c:f>'401K Detailed Contributions'!$A$41</c:f>
              <c:strCache>
                <c:ptCount val="1"/>
                <c:pt idx="0">
                  <c:v>Cumulative Total</c:v>
                </c:pt>
              </c:strCache>
            </c:strRef>
          </c:tx>
          <c:spPr>
            <a:ln w="28575" cap="rnd">
              <a:solidFill>
                <a:schemeClr val="tx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'401K Detailed Contributions'!$B$34:$Z$34</c:f>
              <c:strCache>
                <c:ptCount val="25"/>
                <c:pt idx="0">
                  <c:v>Jan 1</c:v>
                </c:pt>
                <c:pt idx="1">
                  <c:v>Jan 15</c:v>
                </c:pt>
                <c:pt idx="2">
                  <c:v>Feb 1</c:v>
                </c:pt>
                <c:pt idx="3">
                  <c:v>Feb 15</c:v>
                </c:pt>
                <c:pt idx="4">
                  <c:v>Mar 1</c:v>
                </c:pt>
                <c:pt idx="5">
                  <c:v>Mar 15</c:v>
                </c:pt>
                <c:pt idx="6">
                  <c:v>Apr 1</c:v>
                </c:pt>
                <c:pt idx="7">
                  <c:v>Apr 15</c:v>
                </c:pt>
                <c:pt idx="8">
                  <c:v>May 1</c:v>
                </c:pt>
                <c:pt idx="9">
                  <c:v>May 15</c:v>
                </c:pt>
                <c:pt idx="10">
                  <c:v>Jun 1</c:v>
                </c:pt>
                <c:pt idx="11">
                  <c:v>Jun 15</c:v>
                </c:pt>
                <c:pt idx="12">
                  <c:v>Jul 1</c:v>
                </c:pt>
                <c:pt idx="13">
                  <c:v>Jul 15</c:v>
                </c:pt>
                <c:pt idx="14">
                  <c:v>Aug 1</c:v>
                </c:pt>
                <c:pt idx="15">
                  <c:v>Aug 15</c:v>
                </c:pt>
                <c:pt idx="16">
                  <c:v>Sep 1</c:v>
                </c:pt>
                <c:pt idx="17">
                  <c:v>Sep 15</c:v>
                </c:pt>
                <c:pt idx="18">
                  <c:v>Oct 1</c:v>
                </c:pt>
                <c:pt idx="19">
                  <c:v>Oct 15</c:v>
                </c:pt>
                <c:pt idx="20">
                  <c:v>Nov 1</c:v>
                </c:pt>
                <c:pt idx="21">
                  <c:v>Nov 15</c:v>
                </c:pt>
                <c:pt idx="22">
                  <c:v>Dec 1</c:v>
                </c:pt>
                <c:pt idx="23">
                  <c:v>Dec 15</c:v>
                </c:pt>
                <c:pt idx="24">
                  <c:v>True Up</c:v>
                </c:pt>
              </c:strCache>
            </c:strRef>
          </c:cat>
          <c:val>
            <c:numRef>
              <c:f>'401K Detailed Contributions'!$B$41:$Z$41</c:f>
              <c:numCache>
                <c:formatCode>"$"#,##0.0,"K"</c:formatCode>
                <c:ptCount val="25"/>
                <c:pt idx="0">
                  <c:v>2493.75</c:v>
                </c:pt>
                <c:pt idx="1">
                  <c:v>4987.5</c:v>
                </c:pt>
                <c:pt idx="2">
                  <c:v>7481.25</c:v>
                </c:pt>
                <c:pt idx="3">
                  <c:v>9975</c:v>
                </c:pt>
                <c:pt idx="4">
                  <c:v>12468.75</c:v>
                </c:pt>
                <c:pt idx="5">
                  <c:v>14962.5</c:v>
                </c:pt>
                <c:pt idx="6">
                  <c:v>17456.25</c:v>
                </c:pt>
                <c:pt idx="7">
                  <c:v>19950</c:v>
                </c:pt>
                <c:pt idx="8">
                  <c:v>22443.75</c:v>
                </c:pt>
                <c:pt idx="9">
                  <c:v>24937.5</c:v>
                </c:pt>
                <c:pt idx="10">
                  <c:v>27337.5</c:v>
                </c:pt>
                <c:pt idx="11">
                  <c:v>27337.5</c:v>
                </c:pt>
                <c:pt idx="12">
                  <c:v>27337.5</c:v>
                </c:pt>
                <c:pt idx="13">
                  <c:v>27337.5</c:v>
                </c:pt>
                <c:pt idx="14">
                  <c:v>27337.5</c:v>
                </c:pt>
                <c:pt idx="15">
                  <c:v>27337.5</c:v>
                </c:pt>
                <c:pt idx="16">
                  <c:v>27337.5</c:v>
                </c:pt>
                <c:pt idx="17">
                  <c:v>27337.5</c:v>
                </c:pt>
                <c:pt idx="18">
                  <c:v>27337.5</c:v>
                </c:pt>
                <c:pt idx="19">
                  <c:v>27337.5</c:v>
                </c:pt>
                <c:pt idx="20">
                  <c:v>27337.5</c:v>
                </c:pt>
                <c:pt idx="21">
                  <c:v>27337.5</c:v>
                </c:pt>
                <c:pt idx="22">
                  <c:v>27337.5</c:v>
                </c:pt>
                <c:pt idx="23">
                  <c:v>27337.5</c:v>
                </c:pt>
                <c:pt idx="24">
                  <c:v>36600</c:v>
                </c:pt>
              </c:numCache>
            </c:numRef>
          </c:val>
          <c:smooth val="0"/>
          <c:extLst>
            <c:ext xmlns:c16="http://schemas.microsoft.com/office/drawing/2014/chart" uri="{C3380CC4-5D6E-409C-BE32-E72D297353CC}">
              <c16:uniqueId val="{00000003-EC5B-4360-986E-5B19FF176D99}"/>
            </c:ext>
          </c:extLst>
        </c:ser>
        <c:ser>
          <c:idx val="2"/>
          <c:order val="4"/>
          <c:tx>
            <c:strRef>
              <c:f>'401K Detailed Contributions'!$A$40</c:f>
              <c:strCache>
                <c:ptCount val="1"/>
                <c:pt idx="0">
                  <c:v>Cumulative Employee</c:v>
                </c:pt>
              </c:strCache>
            </c:strRef>
          </c:tx>
          <c:spPr>
            <a:ln w="28575" cap="rnd">
              <a:solidFill>
                <a:schemeClr val="accent2"/>
              </a:solidFill>
              <a:prstDash val="sysDot"/>
              <a:round/>
            </a:ln>
            <a:effectLst/>
          </c:spPr>
          <c:marker>
            <c:symbol val="none"/>
          </c:marker>
          <c:dLbls>
            <c:numFmt formatCode="&quot;$&quot;#,##0.0,&quot;K&quot;"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'401K Detailed Contributions'!$B$40:$Z$40</c:f>
              <c:numCache>
                <c:formatCode>_("$"* #,##0_);_("$"* \(#,##0\);_("$"* "-"??_);_(@_)</c:formatCode>
                <c:ptCount val="25"/>
                <c:pt idx="0">
                  <c:v>1781.25</c:v>
                </c:pt>
                <c:pt idx="1">
                  <c:v>3562.5</c:v>
                </c:pt>
                <c:pt idx="2">
                  <c:v>5343.75</c:v>
                </c:pt>
                <c:pt idx="3">
                  <c:v>7125</c:v>
                </c:pt>
                <c:pt idx="4">
                  <c:v>8906.25</c:v>
                </c:pt>
                <c:pt idx="5">
                  <c:v>10687.5</c:v>
                </c:pt>
                <c:pt idx="6">
                  <c:v>12468.75</c:v>
                </c:pt>
                <c:pt idx="7">
                  <c:v>14250</c:v>
                </c:pt>
                <c:pt idx="8">
                  <c:v>16031.25</c:v>
                </c:pt>
                <c:pt idx="9">
                  <c:v>17812.5</c:v>
                </c:pt>
                <c:pt idx="10">
                  <c:v>19500</c:v>
                </c:pt>
                <c:pt idx="11">
                  <c:v>19500</c:v>
                </c:pt>
                <c:pt idx="12">
                  <c:v>19500</c:v>
                </c:pt>
                <c:pt idx="13">
                  <c:v>19500</c:v>
                </c:pt>
                <c:pt idx="14">
                  <c:v>19500</c:v>
                </c:pt>
                <c:pt idx="15">
                  <c:v>19500</c:v>
                </c:pt>
                <c:pt idx="16">
                  <c:v>19500</c:v>
                </c:pt>
                <c:pt idx="17">
                  <c:v>19500</c:v>
                </c:pt>
                <c:pt idx="18">
                  <c:v>19500</c:v>
                </c:pt>
                <c:pt idx="19">
                  <c:v>19500</c:v>
                </c:pt>
                <c:pt idx="20">
                  <c:v>19500</c:v>
                </c:pt>
                <c:pt idx="21">
                  <c:v>19500</c:v>
                </c:pt>
                <c:pt idx="22">
                  <c:v>19500</c:v>
                </c:pt>
                <c:pt idx="23">
                  <c:v>19500</c:v>
                </c:pt>
                <c:pt idx="24">
                  <c:v>19500</c:v>
                </c:pt>
              </c:numCache>
            </c:numRef>
          </c:val>
          <c:smooth val="0"/>
          <c:extLst>
            <c:ext xmlns:c16="http://schemas.microsoft.com/office/drawing/2014/chart" uri="{C3380CC4-5D6E-409C-BE32-E72D297353CC}">
              <c16:uniqueId val="{00000000-7C18-4421-ABDD-1EF920535F63}"/>
            </c:ext>
          </c:extLst>
        </c:ser>
        <c:dLbls>
          <c:showLegendKey val="0"/>
          <c:showVal val="0"/>
          <c:showCatName val="0"/>
          <c:showSerName val="0"/>
          <c:showPercent val="0"/>
          <c:showBubbleSize val="0"/>
        </c:dLbls>
        <c:marker val="1"/>
        <c:smooth val="0"/>
        <c:axId val="337094536"/>
        <c:axId val="337096504"/>
      </c:lineChart>
      <c:catAx>
        <c:axId val="97578276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5786048"/>
        <c:crosses val="autoZero"/>
        <c:auto val="0"/>
        <c:lblAlgn val="ctr"/>
        <c:lblOffset val="100"/>
        <c:tickLblSkip val="1"/>
        <c:noMultiLvlLbl val="0"/>
      </c:catAx>
      <c:valAx>
        <c:axId val="975786048"/>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5782768"/>
        <c:crosses val="autoZero"/>
        <c:crossBetween val="between"/>
      </c:valAx>
      <c:valAx>
        <c:axId val="337096504"/>
        <c:scaling>
          <c:orientation val="minMax"/>
        </c:scaling>
        <c:delete val="0"/>
        <c:axPos val="r"/>
        <c:numFmt formatCode="&quot;$&quot;#,##0.0,&quot;K&quot;"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7094536"/>
        <c:crosses val="max"/>
        <c:crossBetween val="between"/>
      </c:valAx>
      <c:catAx>
        <c:axId val="337094536"/>
        <c:scaling>
          <c:orientation val="minMax"/>
        </c:scaling>
        <c:delete val="1"/>
        <c:axPos val="b"/>
        <c:numFmt formatCode="General" sourceLinked="1"/>
        <c:majorTickMark val="out"/>
        <c:minorTickMark val="none"/>
        <c:tickLblPos val="nextTo"/>
        <c:crossAx val="33709650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Max Matching ($K) by Employer at each Income Level and Max</a:t>
            </a:r>
            <a:r>
              <a:rPr lang="en-US" b="1" baseline="0"/>
              <a:t> Matching %</a:t>
            </a:r>
            <a:endParaRPr lang="en-US"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'401K General Reports'!$A$6</c:f>
              <c:strCache>
                <c:ptCount val="1"/>
                <c:pt idx="0">
                  <c:v>2%</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'401K General Reports'!$B$5:$G$5</c:f>
              <c:numCache>
                <c:formatCode>_("$"* #,##0_);_("$"* \(#,##0\);_("$"* "-"??_);_(@_)</c:formatCode>
                <c:ptCount val="6"/>
                <c:pt idx="0">
                  <c:v>50000</c:v>
                </c:pt>
                <c:pt idx="1">
                  <c:v>100000</c:v>
                </c:pt>
                <c:pt idx="2">
                  <c:v>150000</c:v>
                </c:pt>
                <c:pt idx="3">
                  <c:v>200000</c:v>
                </c:pt>
                <c:pt idx="4">
                  <c:v>250000</c:v>
                </c:pt>
                <c:pt idx="5">
                  <c:v>285000</c:v>
                </c:pt>
              </c:numCache>
            </c:numRef>
          </c:cat>
          <c:val>
            <c:numRef>
              <c:f>'401K General Reports'!$B$6:$G$6</c:f>
              <c:numCache>
                <c:formatCode>#,##0,</c:formatCode>
                <c:ptCount val="6"/>
                <c:pt idx="0">
                  <c:v>1000</c:v>
                </c:pt>
                <c:pt idx="1">
                  <c:v>2000</c:v>
                </c:pt>
                <c:pt idx="2">
                  <c:v>3000</c:v>
                </c:pt>
                <c:pt idx="3">
                  <c:v>4000</c:v>
                </c:pt>
                <c:pt idx="4">
                  <c:v>5000</c:v>
                </c:pt>
                <c:pt idx="5" formatCode="#,##0.0,">
                  <c:v>5700</c:v>
                </c:pt>
              </c:numCache>
            </c:numRef>
          </c:val>
          <c:extLst>
            <c:ext xmlns:c16="http://schemas.microsoft.com/office/drawing/2014/chart" uri="{C3380CC4-5D6E-409C-BE32-E72D297353CC}">
              <c16:uniqueId val="{00000000-BC6F-4B31-A12B-55607ACAD05D}"/>
            </c:ext>
          </c:extLst>
        </c:ser>
        <c:ser>
          <c:idx val="1"/>
          <c:order val="1"/>
          <c:tx>
            <c:strRef>
              <c:f>'401K General Reports'!$A$7</c:f>
              <c:strCache>
                <c:ptCount val="1"/>
                <c:pt idx="0">
                  <c:v>3%</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'401K General Reports'!$B$5:$G$5</c:f>
              <c:numCache>
                <c:formatCode>_("$"* #,##0_);_("$"* \(#,##0\);_("$"* "-"??_);_(@_)</c:formatCode>
                <c:ptCount val="6"/>
                <c:pt idx="0">
                  <c:v>50000</c:v>
                </c:pt>
                <c:pt idx="1">
                  <c:v>100000</c:v>
                </c:pt>
                <c:pt idx="2">
                  <c:v>150000</c:v>
                </c:pt>
                <c:pt idx="3">
                  <c:v>200000</c:v>
                </c:pt>
                <c:pt idx="4">
                  <c:v>250000</c:v>
                </c:pt>
                <c:pt idx="5">
                  <c:v>285000</c:v>
                </c:pt>
              </c:numCache>
            </c:numRef>
          </c:cat>
          <c:val>
            <c:numRef>
              <c:f>'401K General Reports'!$B$7:$G$7</c:f>
              <c:numCache>
                <c:formatCode>#,##0,</c:formatCode>
                <c:ptCount val="6"/>
                <c:pt idx="0" formatCode="#,##0.0,">
                  <c:v>1500</c:v>
                </c:pt>
                <c:pt idx="1">
                  <c:v>3000</c:v>
                </c:pt>
                <c:pt idx="2" formatCode="#,##0.0,">
                  <c:v>4500</c:v>
                </c:pt>
                <c:pt idx="3">
                  <c:v>6000</c:v>
                </c:pt>
                <c:pt idx="4" formatCode="#,##0.0,">
                  <c:v>7500</c:v>
                </c:pt>
                <c:pt idx="5" formatCode="#,##0.0,">
                  <c:v>8550</c:v>
                </c:pt>
              </c:numCache>
            </c:numRef>
          </c:val>
          <c:extLst>
            <c:ext xmlns:c16="http://schemas.microsoft.com/office/drawing/2014/chart" uri="{C3380CC4-5D6E-409C-BE32-E72D297353CC}">
              <c16:uniqueId val="{00000001-BC6F-4B31-A12B-55607ACAD05D}"/>
            </c:ext>
          </c:extLst>
        </c:ser>
        <c:ser>
          <c:idx val="2"/>
          <c:order val="2"/>
          <c:tx>
            <c:strRef>
              <c:f>'401K General Reports'!$A$8</c:f>
              <c:strCache>
                <c:ptCount val="1"/>
                <c:pt idx="0">
                  <c:v>4%</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'401K General Reports'!$B$5:$G$5</c:f>
              <c:numCache>
                <c:formatCode>_("$"* #,##0_);_("$"* \(#,##0\);_("$"* "-"??_);_(@_)</c:formatCode>
                <c:ptCount val="6"/>
                <c:pt idx="0">
                  <c:v>50000</c:v>
                </c:pt>
                <c:pt idx="1">
                  <c:v>100000</c:v>
                </c:pt>
                <c:pt idx="2">
                  <c:v>150000</c:v>
                </c:pt>
                <c:pt idx="3">
                  <c:v>200000</c:v>
                </c:pt>
                <c:pt idx="4">
                  <c:v>250000</c:v>
                </c:pt>
                <c:pt idx="5">
                  <c:v>285000</c:v>
                </c:pt>
              </c:numCache>
            </c:numRef>
          </c:cat>
          <c:val>
            <c:numRef>
              <c:f>'401K General Reports'!$B$8:$G$8</c:f>
              <c:numCache>
                <c:formatCode>#,##0,</c:formatCode>
                <c:ptCount val="6"/>
                <c:pt idx="0">
                  <c:v>2000</c:v>
                </c:pt>
                <c:pt idx="1">
                  <c:v>4000</c:v>
                </c:pt>
                <c:pt idx="2">
                  <c:v>6000</c:v>
                </c:pt>
                <c:pt idx="3">
                  <c:v>8000</c:v>
                </c:pt>
                <c:pt idx="4">
                  <c:v>10000</c:v>
                </c:pt>
                <c:pt idx="5" formatCode="#,##0.0,">
                  <c:v>11400</c:v>
                </c:pt>
              </c:numCache>
            </c:numRef>
          </c:val>
          <c:extLst>
            <c:ext xmlns:c16="http://schemas.microsoft.com/office/drawing/2014/chart" uri="{C3380CC4-5D6E-409C-BE32-E72D297353CC}">
              <c16:uniqueId val="{00000002-BC6F-4B31-A12B-55607ACAD05D}"/>
            </c:ext>
          </c:extLst>
        </c:ser>
        <c:ser>
          <c:idx val="3"/>
          <c:order val="3"/>
          <c:tx>
            <c:strRef>
              <c:f>'401K General Reports'!$A$9</c:f>
              <c:strCache>
                <c:ptCount val="1"/>
                <c:pt idx="0">
                  <c:v>5%</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'401K General Reports'!$B$5:$G$5</c:f>
              <c:numCache>
                <c:formatCode>_("$"* #,##0_);_("$"* \(#,##0\);_("$"* "-"??_);_(@_)</c:formatCode>
                <c:ptCount val="6"/>
                <c:pt idx="0">
                  <c:v>50000</c:v>
                </c:pt>
                <c:pt idx="1">
                  <c:v>100000</c:v>
                </c:pt>
                <c:pt idx="2">
                  <c:v>150000</c:v>
                </c:pt>
                <c:pt idx="3">
                  <c:v>200000</c:v>
                </c:pt>
                <c:pt idx="4">
                  <c:v>250000</c:v>
                </c:pt>
                <c:pt idx="5">
                  <c:v>285000</c:v>
                </c:pt>
              </c:numCache>
            </c:numRef>
          </c:cat>
          <c:val>
            <c:numRef>
              <c:f>'401K General Reports'!$B$9:$G$9</c:f>
              <c:numCache>
                <c:formatCode>#,##0,</c:formatCode>
                <c:ptCount val="6"/>
                <c:pt idx="0" formatCode="#,##0.0,">
                  <c:v>2500</c:v>
                </c:pt>
                <c:pt idx="1">
                  <c:v>5000</c:v>
                </c:pt>
                <c:pt idx="2" formatCode="#,##0.0,">
                  <c:v>7500</c:v>
                </c:pt>
                <c:pt idx="3">
                  <c:v>10000</c:v>
                </c:pt>
                <c:pt idx="4" formatCode="#,##0.0,">
                  <c:v>12500</c:v>
                </c:pt>
                <c:pt idx="5" formatCode="#,##0.0,">
                  <c:v>14250</c:v>
                </c:pt>
              </c:numCache>
            </c:numRef>
          </c:val>
          <c:extLst>
            <c:ext xmlns:c16="http://schemas.microsoft.com/office/drawing/2014/chart" uri="{C3380CC4-5D6E-409C-BE32-E72D297353CC}">
              <c16:uniqueId val="{00000003-BC6F-4B31-A12B-55607ACAD05D}"/>
            </c:ext>
          </c:extLst>
        </c:ser>
        <c:ser>
          <c:idx val="4"/>
          <c:order val="4"/>
          <c:tx>
            <c:strRef>
              <c:f>'401K General Reports'!$A$10</c:f>
              <c:strCache>
                <c:ptCount val="1"/>
                <c:pt idx="0">
                  <c:v>6%</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'401K General Reports'!$B$5:$G$5</c:f>
              <c:numCache>
                <c:formatCode>_("$"* #,##0_);_("$"* \(#,##0\);_("$"* "-"??_);_(@_)</c:formatCode>
                <c:ptCount val="6"/>
                <c:pt idx="0">
                  <c:v>50000</c:v>
                </c:pt>
                <c:pt idx="1">
                  <c:v>100000</c:v>
                </c:pt>
                <c:pt idx="2">
                  <c:v>150000</c:v>
                </c:pt>
                <c:pt idx="3">
                  <c:v>200000</c:v>
                </c:pt>
                <c:pt idx="4">
                  <c:v>250000</c:v>
                </c:pt>
                <c:pt idx="5">
                  <c:v>285000</c:v>
                </c:pt>
              </c:numCache>
            </c:numRef>
          </c:cat>
          <c:val>
            <c:numRef>
              <c:f>'401K General Reports'!$B$10:$G$10</c:f>
              <c:numCache>
                <c:formatCode>#,##0,</c:formatCode>
                <c:ptCount val="6"/>
                <c:pt idx="0">
                  <c:v>3000</c:v>
                </c:pt>
                <c:pt idx="1">
                  <c:v>6000</c:v>
                </c:pt>
                <c:pt idx="2">
                  <c:v>9000</c:v>
                </c:pt>
                <c:pt idx="3">
                  <c:v>12000</c:v>
                </c:pt>
                <c:pt idx="4">
                  <c:v>15000</c:v>
                </c:pt>
                <c:pt idx="5" formatCode="#,##0.0,">
                  <c:v>17100</c:v>
                </c:pt>
              </c:numCache>
            </c:numRef>
          </c:val>
          <c:extLst>
            <c:ext xmlns:c16="http://schemas.microsoft.com/office/drawing/2014/chart" uri="{C3380CC4-5D6E-409C-BE32-E72D297353CC}">
              <c16:uniqueId val="{00000004-BC6F-4B31-A12B-55607ACAD05D}"/>
            </c:ext>
          </c:extLst>
        </c:ser>
        <c:ser>
          <c:idx val="5"/>
          <c:order val="5"/>
          <c:tx>
            <c:strRef>
              <c:f>'401K General Reports'!$A$11</c:f>
              <c:strCache>
                <c:ptCount val="1"/>
                <c:pt idx="0">
                  <c:v>7%</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accent6">
                        <a:lumMod val="7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'401K General Reports'!$B$5:$G$5</c:f>
              <c:numCache>
                <c:formatCode>_("$"* #,##0_);_("$"* \(#,##0\);_("$"* "-"??_);_(@_)</c:formatCode>
                <c:ptCount val="6"/>
                <c:pt idx="0">
                  <c:v>50000</c:v>
                </c:pt>
                <c:pt idx="1">
                  <c:v>100000</c:v>
                </c:pt>
                <c:pt idx="2">
                  <c:v>150000</c:v>
                </c:pt>
                <c:pt idx="3">
                  <c:v>200000</c:v>
                </c:pt>
                <c:pt idx="4">
                  <c:v>250000</c:v>
                </c:pt>
                <c:pt idx="5">
                  <c:v>285000</c:v>
                </c:pt>
              </c:numCache>
            </c:numRef>
          </c:cat>
          <c:val>
            <c:numRef>
              <c:f>'401K General Reports'!$B$11:$G$11</c:f>
              <c:numCache>
                <c:formatCode>#,##0,</c:formatCode>
                <c:ptCount val="6"/>
                <c:pt idx="0">
                  <c:v>3500.0000000000005</c:v>
                </c:pt>
                <c:pt idx="1">
                  <c:v>7000.0000000000009</c:v>
                </c:pt>
                <c:pt idx="2">
                  <c:v>10500.000000000002</c:v>
                </c:pt>
                <c:pt idx="3">
                  <c:v>14000.000000000002</c:v>
                </c:pt>
                <c:pt idx="4">
                  <c:v>17500</c:v>
                </c:pt>
                <c:pt idx="5" formatCode="#,##0.0,">
                  <c:v>19500</c:v>
                </c:pt>
              </c:numCache>
            </c:numRef>
          </c:val>
          <c:extLst>
            <c:ext xmlns:c16="http://schemas.microsoft.com/office/drawing/2014/chart" uri="{C3380CC4-5D6E-409C-BE32-E72D297353CC}">
              <c16:uniqueId val="{00000006-BC6F-4B31-A12B-55607ACAD05D}"/>
            </c:ext>
          </c:extLst>
        </c:ser>
        <c:dLbls>
          <c:showLegendKey val="0"/>
          <c:showVal val="0"/>
          <c:showCatName val="0"/>
          <c:showSerName val="0"/>
          <c:showPercent val="0"/>
          <c:showBubbleSize val="0"/>
        </c:dLbls>
        <c:gapWidth val="150"/>
        <c:axId val="756192336"/>
        <c:axId val="756187088"/>
      </c:barChart>
      <c:catAx>
        <c:axId val="756192336"/>
        <c:scaling>
          <c:orientation val="minMax"/>
        </c:scaling>
        <c:delete val="0"/>
        <c:axPos val="b"/>
        <c:numFmt formatCode="_(&quot;$&quot;* #,##0_);_(&quot;$&quot;* \(#,##0\);_(&quot;$&quot;* &quot;-&quot;??_);_(@_)"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6187088"/>
        <c:crosses val="autoZero"/>
        <c:auto val="1"/>
        <c:lblAlgn val="ctr"/>
        <c:lblOffset val="100"/>
        <c:noMultiLvlLbl val="0"/>
      </c:catAx>
      <c:valAx>
        <c:axId val="756187088"/>
        <c:scaling>
          <c:orientation val="minMax"/>
        </c:scaling>
        <c:delete val="1"/>
        <c:axPos val="l"/>
        <c:numFmt formatCode="#,##0," sourceLinked="1"/>
        <c:majorTickMark val="none"/>
        <c:minorTickMark val="none"/>
        <c:tickLblPos val="nextTo"/>
        <c:crossAx val="7561923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en-US" sz="1800" b="1"/>
              <a:t>Max % Contribute to Max Out 401K and avoid True-Up</a:t>
            </a:r>
          </a:p>
        </c:rich>
      </c:tx>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'401K General Reports'!$B$39</c:f>
              <c:strCache>
                <c:ptCount val="1"/>
                <c:pt idx="0">
                  <c:v>% Contribute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'401K General Reports'!$A$40:$A$50</c:f>
              <c:numCache>
                <c:formatCode>"$"#,##0,"K"</c:formatCode>
                <c:ptCount val="11"/>
                <c:pt idx="0">
                  <c:v>50000</c:v>
                </c:pt>
                <c:pt idx="1">
                  <c:v>100000</c:v>
                </c:pt>
                <c:pt idx="2">
                  <c:v>150000</c:v>
                </c:pt>
                <c:pt idx="3">
                  <c:v>200000</c:v>
                </c:pt>
                <c:pt idx="4">
                  <c:v>250000</c:v>
                </c:pt>
                <c:pt idx="5">
                  <c:v>285000</c:v>
                </c:pt>
                <c:pt idx="6">
                  <c:v>300000</c:v>
                </c:pt>
                <c:pt idx="7">
                  <c:v>350000</c:v>
                </c:pt>
                <c:pt idx="8">
                  <c:v>400000</c:v>
                </c:pt>
                <c:pt idx="9">
                  <c:v>450000</c:v>
                </c:pt>
                <c:pt idx="10">
                  <c:v>500000</c:v>
                </c:pt>
              </c:numCache>
            </c:numRef>
          </c:cat>
          <c:val>
            <c:numRef>
              <c:f>'401K General Reports'!$B$40:$B$50</c:f>
              <c:numCache>
                <c:formatCode>0.0%</c:formatCode>
                <c:ptCount val="11"/>
                <c:pt idx="0">
                  <c:v>0.39</c:v>
                </c:pt>
                <c:pt idx="1">
                  <c:v>0.19500000000000001</c:v>
                </c:pt>
                <c:pt idx="2">
                  <c:v>0.13</c:v>
                </c:pt>
                <c:pt idx="3">
                  <c:v>9.7500000000000003E-2</c:v>
                </c:pt>
                <c:pt idx="4">
                  <c:v>7.8E-2</c:v>
                </c:pt>
                <c:pt idx="5">
                  <c:v>6.8421052631578952E-2</c:v>
                </c:pt>
                <c:pt idx="6">
                  <c:v>6.5000000000000002E-2</c:v>
                </c:pt>
                <c:pt idx="7">
                  <c:v>5.5714285714285716E-2</c:v>
                </c:pt>
                <c:pt idx="8">
                  <c:v>4.8750000000000002E-2</c:v>
                </c:pt>
                <c:pt idx="9">
                  <c:v>4.3333333333333335E-2</c:v>
                </c:pt>
                <c:pt idx="10">
                  <c:v>3.9E-2</c:v>
                </c:pt>
              </c:numCache>
            </c:numRef>
          </c:val>
          <c:extLst>
            <c:ext xmlns:c16="http://schemas.microsoft.com/office/drawing/2014/chart" uri="{C3380CC4-5D6E-409C-BE32-E72D297353CC}">
              <c16:uniqueId val="{00000000-B6A1-4FE1-922E-43C46FEB5939}"/>
            </c:ext>
          </c:extLst>
        </c:ser>
        <c:dLbls>
          <c:showLegendKey val="0"/>
          <c:showVal val="0"/>
          <c:showCatName val="0"/>
          <c:showSerName val="0"/>
          <c:showPercent val="0"/>
          <c:showBubbleSize val="0"/>
        </c:dLbls>
        <c:gapWidth val="150"/>
        <c:axId val="979049456"/>
        <c:axId val="979065528"/>
      </c:barChart>
      <c:catAx>
        <c:axId val="979049456"/>
        <c:scaling>
          <c:orientation val="minMax"/>
        </c:scaling>
        <c:delete val="0"/>
        <c:axPos val="b"/>
        <c:numFmt formatCode="&quot;$&quot;#,##0,&quot;K&quot;"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9065528"/>
        <c:crosses val="autoZero"/>
        <c:auto val="1"/>
        <c:lblAlgn val="ctr"/>
        <c:lblOffset val="100"/>
        <c:noMultiLvlLbl val="0"/>
      </c:catAx>
      <c:valAx>
        <c:axId val="979065528"/>
        <c:scaling>
          <c:orientation val="minMax"/>
        </c:scaling>
        <c:delete val="1"/>
        <c:axPos val="l"/>
        <c:numFmt formatCode="0.0%" sourceLinked="1"/>
        <c:majorTickMark val="none"/>
        <c:minorTickMark val="none"/>
        <c:tickLblPos val="nextTo"/>
        <c:crossAx val="97904945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11206</xdr:colOff>
      <xdr:row>2</xdr:row>
      <xdr:rowOff>103909</xdr:rowOff>
    </xdr:from>
    <xdr:to>
      <xdr:col>25</xdr:col>
      <xdr:colOff>675410</xdr:colOff>
      <xdr:row>31</xdr:row>
      <xdr:rowOff>17318</xdr:rowOff>
    </xdr:to>
    <xdr:graphicFrame macro="">
      <xdr:nvGraphicFramePr>
        <xdr:cNvPr id="2" name="Chart 1">
          <a:extLst>
            <a:ext uri="{FF2B5EF4-FFF2-40B4-BE49-F238E27FC236}">
              <a16:creationId xmlns:a16="http://schemas.microsoft.com/office/drawing/2014/main" id="{54286237-C823-40D1-ACF6-535B6358A9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619125</xdr:colOff>
      <xdr:row>12</xdr:row>
      <xdr:rowOff>147637</xdr:rowOff>
    </xdr:from>
    <xdr:to>
      <xdr:col>8</xdr:col>
      <xdr:colOff>381000</xdr:colOff>
      <xdr:row>33</xdr:row>
      <xdr:rowOff>28575</xdr:rowOff>
    </xdr:to>
    <xdr:graphicFrame macro="">
      <xdr:nvGraphicFramePr>
        <xdr:cNvPr id="4" name="Chart 3">
          <a:extLst>
            <a:ext uri="{FF2B5EF4-FFF2-40B4-BE49-F238E27FC236}">
              <a16:creationId xmlns:a16="http://schemas.microsoft.com/office/drawing/2014/main" id="{6956FB71-BA90-4DCA-B836-713B2488BA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233293</xdr:colOff>
      <xdr:row>37</xdr:row>
      <xdr:rowOff>76462</xdr:rowOff>
    </xdr:from>
    <xdr:to>
      <xdr:col>9</xdr:col>
      <xdr:colOff>193028</xdr:colOff>
      <xdr:row>54</xdr:row>
      <xdr:rowOff>62175</xdr:rowOff>
    </xdr:to>
    <xdr:graphicFrame macro="">
      <xdr:nvGraphicFramePr>
        <xdr:cNvPr id="6" name="Chart 5">
          <a:extLst>
            <a:ext uri="{FF2B5EF4-FFF2-40B4-BE49-F238E27FC236}">
              <a16:creationId xmlns:a16="http://schemas.microsoft.com/office/drawing/2014/main" id="{2148E04C-F38F-4BD5-B1E9-117BC1AA6A3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re.tc/ryansmith"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F73D2-A39A-4BE0-8A4E-21224B228A66}">
  <dimension ref="B1:C35"/>
  <sheetViews>
    <sheetView tabSelected="1" zoomScale="85" zoomScaleNormal="85" zoomScaleSheetLayoutView="85" workbookViewId="0">
      <selection activeCell="C7" sqref="C7"/>
    </sheetView>
  </sheetViews>
  <sheetFormatPr defaultRowHeight="15" x14ac:dyDescent="0.25"/>
  <cols>
    <col min="1" max="1" width="1.28515625" customWidth="1"/>
    <col min="2" max="2" width="68.5703125" customWidth="1"/>
    <col min="3" max="3" width="22.7109375" customWidth="1"/>
    <col min="4" max="4" width="43" bestFit="1" customWidth="1"/>
    <col min="5" max="5" width="11.5703125" bestFit="1" customWidth="1"/>
    <col min="6" max="6" width="11.42578125" customWidth="1"/>
    <col min="7" max="8" width="13" customWidth="1"/>
    <col min="9" max="9" width="12.28515625" customWidth="1"/>
    <col min="10" max="10" width="14.42578125" customWidth="1"/>
    <col min="11" max="11" width="12.42578125" customWidth="1"/>
    <col min="12" max="12" width="12.85546875" customWidth="1"/>
    <col min="13" max="13" width="12.42578125" customWidth="1"/>
    <col min="14" max="27" width="11.5703125" bestFit="1" customWidth="1"/>
    <col min="28" max="30" width="10.5703125" bestFit="1" customWidth="1"/>
  </cols>
  <sheetData>
    <row r="1" spans="2:3" ht="36" x14ac:dyDescent="0.55000000000000004">
      <c r="B1" s="53" t="s">
        <v>53</v>
      </c>
      <c r="C1" s="54"/>
    </row>
    <row r="2" spans="2:3" ht="18.75" x14ac:dyDescent="0.3">
      <c r="B2" s="35" t="s">
        <v>54</v>
      </c>
      <c r="C2" s="61" t="s">
        <v>76</v>
      </c>
    </row>
    <row r="3" spans="2:3" ht="18.75" x14ac:dyDescent="0.3">
      <c r="B3" s="57" t="s">
        <v>72</v>
      </c>
    </row>
    <row r="4" spans="2:3" x14ac:dyDescent="0.25">
      <c r="B4" t="s">
        <v>82</v>
      </c>
    </row>
    <row r="5" spans="2:3" ht="23.25" x14ac:dyDescent="0.35">
      <c r="B5" s="41" t="s">
        <v>77</v>
      </c>
      <c r="C5" s="34"/>
    </row>
    <row r="6" spans="2:3" ht="18.75" x14ac:dyDescent="0.3">
      <c r="B6" s="43" t="s">
        <v>39</v>
      </c>
    </row>
    <row r="7" spans="2:3" x14ac:dyDescent="0.25">
      <c r="B7" s="29" t="s">
        <v>61</v>
      </c>
      <c r="C7" s="16">
        <v>285000</v>
      </c>
    </row>
    <row r="8" spans="2:3" x14ac:dyDescent="0.25">
      <c r="B8" s="29" t="s">
        <v>47</v>
      </c>
      <c r="C8" s="17">
        <v>0.15</v>
      </c>
    </row>
    <row r="9" spans="2:3" x14ac:dyDescent="0.25">
      <c r="B9" s="31"/>
      <c r="C9" s="24"/>
    </row>
    <row r="10" spans="2:3" ht="18.75" x14ac:dyDescent="0.3">
      <c r="B10" s="44" t="s">
        <v>49</v>
      </c>
    </row>
    <row r="11" spans="2:3" x14ac:dyDescent="0.25">
      <c r="B11" s="30" t="s">
        <v>48</v>
      </c>
      <c r="C11" s="49">
        <v>1</v>
      </c>
    </row>
    <row r="12" spans="2:3" x14ac:dyDescent="0.25">
      <c r="B12" s="29" t="s">
        <v>50</v>
      </c>
      <c r="C12" s="49">
        <v>0.06</v>
      </c>
    </row>
    <row r="13" spans="2:3" x14ac:dyDescent="0.25">
      <c r="B13" s="30" t="s">
        <v>51</v>
      </c>
      <c r="C13" s="48">
        <v>0</v>
      </c>
    </row>
    <row r="14" spans="2:3" x14ac:dyDescent="0.25">
      <c r="B14" s="46" t="s">
        <v>57</v>
      </c>
      <c r="C14" s="47">
        <f>MIN(C20,MIN(C7,C19)*C12,IF(C13=0,99999,C13))</f>
        <v>17100</v>
      </c>
    </row>
    <row r="15" spans="2:3" x14ac:dyDescent="0.25">
      <c r="B15" s="46" t="s">
        <v>56</v>
      </c>
      <c r="C15" s="47">
        <f>MIN(C20,MIN(C7,C19)*C12,MIN(C7,C19)*C8*C11,IF(C13=0,99999,C13))</f>
        <v>17100</v>
      </c>
    </row>
    <row r="16" spans="2:3" x14ac:dyDescent="0.25">
      <c r="B16" s="31"/>
    </row>
    <row r="17" spans="2:3" ht="18.75" x14ac:dyDescent="0.3">
      <c r="B17" s="45" t="s">
        <v>59</v>
      </c>
    </row>
    <row r="18" spans="2:3" x14ac:dyDescent="0.25">
      <c r="B18" s="29" t="s">
        <v>40</v>
      </c>
      <c r="C18" s="16">
        <v>19500</v>
      </c>
    </row>
    <row r="19" spans="2:3" x14ac:dyDescent="0.25">
      <c r="B19" s="32" t="s">
        <v>46</v>
      </c>
      <c r="C19" s="50">
        <v>285000</v>
      </c>
    </row>
    <row r="20" spans="2:3" x14ac:dyDescent="0.25">
      <c r="B20" s="29" t="s">
        <v>60</v>
      </c>
      <c r="C20" s="24">
        <f>MIN(C19*C12,C18)</f>
        <v>17100</v>
      </c>
    </row>
    <row r="22" spans="2:3" x14ac:dyDescent="0.25">
      <c r="B22" s="31"/>
    </row>
    <row r="23" spans="2:3" ht="23.25" x14ac:dyDescent="0.35">
      <c r="B23" s="41" t="s">
        <v>41</v>
      </c>
      <c r="C23" s="21"/>
    </row>
    <row r="24" spans="2:3" ht="21" x14ac:dyDescent="0.35">
      <c r="B24" s="36" t="s">
        <v>37</v>
      </c>
      <c r="C24" s="39">
        <f>'401K Detailed Contributions'!Z40</f>
        <v>19500</v>
      </c>
    </row>
    <row r="25" spans="2:3" ht="21" x14ac:dyDescent="0.35">
      <c r="B25" s="37" t="s">
        <v>52</v>
      </c>
      <c r="C25" s="39">
        <f>'401K Detailed Contributions'!Z39-'401K Detailed Contributions'!Z35</f>
        <v>7837.5</v>
      </c>
    </row>
    <row r="26" spans="2:3" ht="21.75" thickBot="1" x14ac:dyDescent="0.4">
      <c r="B26" s="60" t="s">
        <v>58</v>
      </c>
      <c r="C26" s="63">
        <f>'401K Detailed Contributions'!Z35</f>
        <v>9262.5</v>
      </c>
    </row>
    <row r="27" spans="2:3" ht="21.75" thickBot="1" x14ac:dyDescent="0.4">
      <c r="B27" s="64" t="s">
        <v>79</v>
      </c>
      <c r="C27" s="65">
        <f>SUM(C24:C26)</f>
        <v>36600</v>
      </c>
    </row>
    <row r="28" spans="2:3" ht="21" x14ac:dyDescent="0.35">
      <c r="B28" s="38" t="s">
        <v>42</v>
      </c>
      <c r="C28" s="40" t="str">
        <f>IF(C24&lt;C18,"Never max out",INDEX('401K Detailed Contributions'!B34:Y34,MATCH(MAX('401K Detailed Contributions'!B40:Y40),'401K Detailed Contributions'!B40:Y40,0)))</f>
        <v>Jun 1</v>
      </c>
    </row>
    <row r="29" spans="2:3" x14ac:dyDescent="0.25">
      <c r="B29" s="31"/>
    </row>
    <row r="30" spans="2:3" ht="23.25" x14ac:dyDescent="0.35">
      <c r="B30" s="42" t="s">
        <v>45</v>
      </c>
      <c r="C30" s="27"/>
    </row>
    <row r="31" spans="2:3" x14ac:dyDescent="0.25">
      <c r="B31" s="33" t="s">
        <v>43</v>
      </c>
      <c r="C31" s="25">
        <f>C18-C24</f>
        <v>0</v>
      </c>
    </row>
    <row r="32" spans="2:3" ht="15.75" thickBot="1" x14ac:dyDescent="0.3">
      <c r="B32" s="28" t="s">
        <v>38</v>
      </c>
      <c r="C32" s="26">
        <f>C14-C25-C26</f>
        <v>0</v>
      </c>
    </row>
    <row r="33" spans="2:3" ht="16.5" thickBot="1" x14ac:dyDescent="0.3">
      <c r="B33" s="67" t="s">
        <v>44</v>
      </c>
      <c r="C33" s="66">
        <f>SUM(C31:C32)</f>
        <v>0</v>
      </c>
    </row>
    <row r="35" spans="2:3" ht="75" x14ac:dyDescent="0.25">
      <c r="B35" s="51" t="s">
        <v>78</v>
      </c>
    </row>
  </sheetData>
  <hyperlinks>
    <hyperlink ref="C2" r:id="rId1" xr:uid="{21929C11-7709-4F17-875F-C16FF5452BD4}"/>
  </hyperlinks>
  <pageMargins left="0.7" right="0.7" top="0.75" bottom="0.75" header="0.3" footer="0.3"/>
  <pageSetup scale="73"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85257-55CD-4B94-9786-15F89F2118B1}">
  <dimension ref="A1:Z53"/>
  <sheetViews>
    <sheetView topLeftCell="A4" zoomScale="85" zoomScaleNormal="85" workbookViewId="0">
      <selection activeCell="I35" sqref="I35"/>
    </sheetView>
  </sheetViews>
  <sheetFormatPr defaultRowHeight="15" x14ac:dyDescent="0.25"/>
  <cols>
    <col min="1" max="1" width="24.140625" customWidth="1"/>
    <col min="2" max="2" width="16.140625" customWidth="1"/>
    <col min="3" max="8" width="10.85546875" bestFit="1" customWidth="1"/>
    <col min="9" max="9" width="12.7109375" customWidth="1"/>
    <col min="10" max="14" width="10.85546875" bestFit="1" customWidth="1"/>
    <col min="15" max="15" width="10.85546875" customWidth="1"/>
    <col min="16" max="25" width="10.85546875" bestFit="1" customWidth="1"/>
    <col min="26" max="26" width="9.5703125" customWidth="1"/>
  </cols>
  <sheetData>
    <row r="1" spans="9:9" ht="36" x14ac:dyDescent="0.55000000000000004">
      <c r="I1" s="53" t="s">
        <v>71</v>
      </c>
    </row>
    <row r="2" spans="9:9" ht="18.75" x14ac:dyDescent="0.3">
      <c r="I2" s="35" t="s">
        <v>54</v>
      </c>
    </row>
    <row r="20" spans="2:26" x14ac:dyDescent="0.25">
      <c r="B20" s="18"/>
      <c r="C20" s="18"/>
      <c r="D20" s="18"/>
      <c r="E20" s="18"/>
      <c r="F20" s="18"/>
      <c r="G20" s="18"/>
      <c r="H20" s="18"/>
      <c r="I20" s="18"/>
      <c r="J20" s="18"/>
      <c r="K20" s="18"/>
      <c r="L20" s="18"/>
      <c r="M20" s="18"/>
      <c r="N20" s="18"/>
      <c r="O20" s="18"/>
      <c r="P20" s="18"/>
      <c r="Q20" s="18"/>
      <c r="R20" s="18"/>
      <c r="S20" s="18"/>
      <c r="T20" s="18"/>
      <c r="U20" s="18"/>
      <c r="V20" s="18"/>
      <c r="W20" s="18"/>
      <c r="X20" s="18"/>
      <c r="Y20" s="18"/>
      <c r="Z20" s="18"/>
    </row>
    <row r="33" spans="1:26" x14ac:dyDescent="0.25">
      <c r="A33" s="1" t="s">
        <v>55</v>
      </c>
    </row>
    <row r="34" spans="1:26" x14ac:dyDescent="0.25">
      <c r="B34" s="22" t="s">
        <v>13</v>
      </c>
      <c r="C34" s="22" t="s">
        <v>14</v>
      </c>
      <c r="D34" s="22" t="s">
        <v>15</v>
      </c>
      <c r="E34" s="22" t="s">
        <v>16</v>
      </c>
      <c r="F34" s="22" t="s">
        <v>17</v>
      </c>
      <c r="G34" s="22" t="s">
        <v>18</v>
      </c>
      <c r="H34" s="22" t="s">
        <v>19</v>
      </c>
      <c r="I34" s="22" t="s">
        <v>20</v>
      </c>
      <c r="J34" s="22" t="s">
        <v>21</v>
      </c>
      <c r="K34" s="22" t="s">
        <v>22</v>
      </c>
      <c r="L34" s="22" t="s">
        <v>23</v>
      </c>
      <c r="M34" s="22" t="s">
        <v>24</v>
      </c>
      <c r="N34" s="22" t="s">
        <v>25</v>
      </c>
      <c r="O34" s="22" t="s">
        <v>26</v>
      </c>
      <c r="P34" s="22" t="s">
        <v>27</v>
      </c>
      <c r="Q34" s="22" t="s">
        <v>28</v>
      </c>
      <c r="R34" s="22" t="s">
        <v>29</v>
      </c>
      <c r="S34" s="22" t="s">
        <v>30</v>
      </c>
      <c r="T34" s="22" t="s">
        <v>31</v>
      </c>
      <c r="U34" s="22" t="s">
        <v>32</v>
      </c>
      <c r="V34" s="22" t="s">
        <v>33</v>
      </c>
      <c r="W34" s="22" t="s">
        <v>34</v>
      </c>
      <c r="X34" s="22" t="s">
        <v>35</v>
      </c>
      <c r="Y34" s="22" t="s">
        <v>36</v>
      </c>
      <c r="Z34" s="23" t="s">
        <v>0</v>
      </c>
    </row>
    <row r="35" spans="1:26" x14ac:dyDescent="0.25">
      <c r="A35" t="s">
        <v>4</v>
      </c>
      <c r="B35" s="9">
        <f>MIN(B36*'401K Contribution Calculator'!$C$11,B43*B46)</f>
        <v>712.5</v>
      </c>
      <c r="C35" s="9">
        <f>IF(MIN(C36*'401K Contribution Calculator'!$C$11,C43*C46)+B39&gt;'401K Contribution Calculator'!$C$15,'401K Contribution Calculator'!$C$15-B39,MIN(C36*'401K Contribution Calculator'!$C$11,C43*C46))</f>
        <v>712.5</v>
      </c>
      <c r="D35" s="9">
        <f>IF(MIN(D36*'401K Contribution Calculator'!$C$11,D43*D46)+C39&gt;'401K Contribution Calculator'!$C$15,'401K Contribution Calculator'!$C$15-C39,MIN(D36*'401K Contribution Calculator'!$C$11,D43*D46))</f>
        <v>712.5</v>
      </c>
      <c r="E35" s="9">
        <f>IF(MIN(E36*'401K Contribution Calculator'!$C$11,E43*E46)+D39&gt;'401K Contribution Calculator'!$C$15,'401K Contribution Calculator'!$C$15-D39,MIN(E36*'401K Contribution Calculator'!$C$11,E43*E46))</f>
        <v>712.5</v>
      </c>
      <c r="F35" s="9">
        <f>IF(MIN(F36*'401K Contribution Calculator'!$C$11,F43*F46)+E39&gt;'401K Contribution Calculator'!$C$15,'401K Contribution Calculator'!$C$15-E39,MIN(F36*'401K Contribution Calculator'!$C$11,F43*F46))</f>
        <v>712.5</v>
      </c>
      <c r="G35" s="9">
        <f>IF(MIN(G36*'401K Contribution Calculator'!$C$11,G43*G46)+F39&gt;'401K Contribution Calculator'!$C$15,'401K Contribution Calculator'!$C$15-F39,MIN(G36*'401K Contribution Calculator'!$C$11,G43*G46))</f>
        <v>712.5</v>
      </c>
      <c r="H35" s="9">
        <f>IF(MIN(H36*'401K Contribution Calculator'!$C$11,H43*H46)+G39&gt;'401K Contribution Calculator'!$C$15,'401K Contribution Calculator'!$C$15-G39,MIN(H36*'401K Contribution Calculator'!$C$11,H43*H46))</f>
        <v>712.5</v>
      </c>
      <c r="I35" s="9">
        <f>IF(MIN(I36*'401K Contribution Calculator'!$C$11,I43*I46)+H39&gt;'401K Contribution Calculator'!$C$15,'401K Contribution Calculator'!$C$15-H39,MIN(I36*'401K Contribution Calculator'!$C$11,I43*I46))</f>
        <v>712.5</v>
      </c>
      <c r="J35" s="9">
        <f>IF(MIN(J36*'401K Contribution Calculator'!$C$11,J43*J46)+I39&gt;'401K Contribution Calculator'!$C$15,'401K Contribution Calculator'!$C$15-I39,MIN(J36*'401K Contribution Calculator'!$C$11,J43*J46))</f>
        <v>712.5</v>
      </c>
      <c r="K35" s="9">
        <f>IF(MIN(K36*'401K Contribution Calculator'!$C$11,K43*K46)+J39&gt;'401K Contribution Calculator'!$C$15,'401K Contribution Calculator'!$C$15-J39,MIN(K36*'401K Contribution Calculator'!$C$11,K43*K46))</f>
        <v>712.5</v>
      </c>
      <c r="L35" s="9">
        <f>IF(MIN(L36*'401K Contribution Calculator'!$C$11,L43*L46)+K39&gt;'401K Contribution Calculator'!$C$15,'401K Contribution Calculator'!$C$15-K39,MIN(L36*'401K Contribution Calculator'!$C$11,L43*L46))</f>
        <v>712.5</v>
      </c>
      <c r="M35" s="9">
        <f>IF(MIN(M36*'401K Contribution Calculator'!$C$11,M43*M46)+L39&gt;'401K Contribution Calculator'!$C$15,'401K Contribution Calculator'!$C$15-L39,MIN(M36*'401K Contribution Calculator'!$C$11,M43*M46))</f>
        <v>0</v>
      </c>
      <c r="N35" s="9">
        <f>IF(MIN(N36*'401K Contribution Calculator'!$C$11,N43*N46)+M39&gt;'401K Contribution Calculator'!$C$15,'401K Contribution Calculator'!$C$15-M39,MIN(N36*'401K Contribution Calculator'!$C$11,N43*N46))</f>
        <v>0</v>
      </c>
      <c r="O35" s="9">
        <f>IF(MIN(O36*'401K Contribution Calculator'!$C$11,O43*O46)+N39&gt;'401K Contribution Calculator'!$C$15,'401K Contribution Calculator'!$C$15-N39,MIN(O36*'401K Contribution Calculator'!$C$11,O43*O46))</f>
        <v>0</v>
      </c>
      <c r="P35" s="9">
        <f>IF(MIN(P36*'401K Contribution Calculator'!$C$11,P43*P46)+O39&gt;'401K Contribution Calculator'!$C$15,'401K Contribution Calculator'!$C$15-O39,MIN(P36*'401K Contribution Calculator'!$C$11,P43*P46))</f>
        <v>0</v>
      </c>
      <c r="Q35" s="9">
        <f>IF(MIN(Q36*'401K Contribution Calculator'!$C$11,Q43*Q46)+P39&gt;'401K Contribution Calculator'!$C$15,'401K Contribution Calculator'!$C$15-P39,MIN(Q36*'401K Contribution Calculator'!$C$11,Q43*Q46))</f>
        <v>0</v>
      </c>
      <c r="R35" s="9">
        <f>IF(MIN(R36*'401K Contribution Calculator'!$C$11,R43*R46)+Q39&gt;'401K Contribution Calculator'!$C$15,'401K Contribution Calculator'!$C$15-Q39,MIN(R36*'401K Contribution Calculator'!$C$11,R43*R46))</f>
        <v>0</v>
      </c>
      <c r="S35" s="9">
        <f>IF(MIN(S36*'401K Contribution Calculator'!$C$11,S43*S46)+R39&gt;'401K Contribution Calculator'!$C$15,'401K Contribution Calculator'!$C$15-R39,MIN(S36*'401K Contribution Calculator'!$C$11,S43*S46))</f>
        <v>0</v>
      </c>
      <c r="T35" s="9">
        <f>IF(MIN(T36*'401K Contribution Calculator'!$C$11,T43*T46)+S39&gt;'401K Contribution Calculator'!$C$15,'401K Contribution Calculator'!$C$15-S39,MIN(T36*'401K Contribution Calculator'!$C$11,T43*T46))</f>
        <v>0</v>
      </c>
      <c r="U35" s="9">
        <f>IF(MIN(U36*'401K Contribution Calculator'!$C$11,U43*U46)+T39&gt;'401K Contribution Calculator'!$C$15,'401K Contribution Calculator'!$C$15-T39,MIN(U36*'401K Contribution Calculator'!$C$11,U43*U46))</f>
        <v>0</v>
      </c>
      <c r="V35" s="9">
        <f>IF(MIN(V36*'401K Contribution Calculator'!$C$11,V43*V46)+U39&gt;'401K Contribution Calculator'!$C$15,'401K Contribution Calculator'!$C$15-U39,MIN(V36*'401K Contribution Calculator'!$C$11,V43*V46))</f>
        <v>0</v>
      </c>
      <c r="W35" s="9">
        <f>IF(MIN(W36*'401K Contribution Calculator'!$C$11,W43*W46)+V39&gt;'401K Contribution Calculator'!$C$15,'401K Contribution Calculator'!$C$15-V39,MIN(W36*'401K Contribution Calculator'!$C$11,W43*W46))</f>
        <v>0</v>
      </c>
      <c r="X35" s="9">
        <f>IF(MIN(X36*'401K Contribution Calculator'!$C$11,X43*X46)+W39&gt;'401K Contribution Calculator'!$C$15,'401K Contribution Calculator'!$C$15-W39,MIN(X36*'401K Contribution Calculator'!$C$11,X43*X46))</f>
        <v>0</v>
      </c>
      <c r="Y35" s="9">
        <f>IF(MIN(Y36*'401K Contribution Calculator'!$C$11,Y43*Y46)+X39&gt;'401K Contribution Calculator'!$C$15,'401K Contribution Calculator'!$C$15-X39,MIN(Y36*'401K Contribution Calculator'!$C$11,Y43*Y46))</f>
        <v>0</v>
      </c>
      <c r="Z35" s="9">
        <f>MIN('401K Contribution Calculator'!C15,'401K Contribution Calculator'!C7*'401K Contribution Calculator'!C8*'401K Contribution Calculator'!C11)-Y39</f>
        <v>9262.5</v>
      </c>
    </row>
    <row r="36" spans="1:26" x14ac:dyDescent="0.25">
      <c r="A36" t="s">
        <v>5</v>
      </c>
      <c r="B36" s="9">
        <f>MIN(B44*B45,'401K Contribution Calculator'!C18)</f>
        <v>1781.25</v>
      </c>
      <c r="C36" s="9">
        <f>IF(C44*C45+B40&lt;='401K Contribution Calculator'!$C$18,C44*C45,'401K Contribution Calculator'!$C$18-B40)</f>
        <v>1781.25</v>
      </c>
      <c r="D36" s="9">
        <f>IF(D44*D45+C40&lt;='401K Contribution Calculator'!$C$18,D44*D45,'401K Contribution Calculator'!$C$18-C40)</f>
        <v>1781.25</v>
      </c>
      <c r="E36" s="9">
        <f>IF(E44*E45+D40&lt;='401K Contribution Calculator'!$C$18,E44*E45,'401K Contribution Calculator'!$C$18-D40)</f>
        <v>1781.25</v>
      </c>
      <c r="F36" s="9">
        <f>IF(F44*F45+E40&lt;='401K Contribution Calculator'!$C$18,F44*F45,'401K Contribution Calculator'!$C$18-E40)</f>
        <v>1781.25</v>
      </c>
      <c r="G36" s="9">
        <f>IF(G44*G45+F40&lt;='401K Contribution Calculator'!$C$18,G44*G45,'401K Contribution Calculator'!$C$18-F40)</f>
        <v>1781.25</v>
      </c>
      <c r="H36" s="9">
        <f>IF(H44*H45+G40&lt;='401K Contribution Calculator'!$C$18,H44*H45,'401K Contribution Calculator'!$C$18-G40)</f>
        <v>1781.25</v>
      </c>
      <c r="I36" s="9">
        <f>IF(I44*I45+H40&lt;='401K Contribution Calculator'!$C$18,I44*I45,'401K Contribution Calculator'!$C$18-H40)</f>
        <v>1781.25</v>
      </c>
      <c r="J36" s="9">
        <f>IF(J44*J45+I40&lt;='401K Contribution Calculator'!$C$18,J44*J45,'401K Contribution Calculator'!$C$18-I40)</f>
        <v>1781.25</v>
      </c>
      <c r="K36" s="9">
        <f>IF(K44*K45+J40&lt;='401K Contribution Calculator'!$C$18,K44*K45,'401K Contribution Calculator'!$C$18-J40)</f>
        <v>1781.25</v>
      </c>
      <c r="L36" s="9">
        <f>IF(L44*L45+K40&lt;='401K Contribution Calculator'!$C$18,L44*L45,'401K Contribution Calculator'!$C$18-K40)</f>
        <v>1687.5</v>
      </c>
      <c r="M36" s="9">
        <f>IF(M44*M45+L40&lt;='401K Contribution Calculator'!$C$18,M44*M45,'401K Contribution Calculator'!$C$18-L40)</f>
        <v>0</v>
      </c>
      <c r="N36" s="9">
        <f>IF(N44*N45+M40&lt;='401K Contribution Calculator'!$C$18,N44*N45,'401K Contribution Calculator'!$C$18-M40)</f>
        <v>0</v>
      </c>
      <c r="O36" s="9">
        <f>IF(O44*O45+N40&lt;='401K Contribution Calculator'!$C$18,O44*O45,'401K Contribution Calculator'!$C$18-N40)</f>
        <v>0</v>
      </c>
      <c r="P36" s="9">
        <f>IF(P44*P45+O40&lt;='401K Contribution Calculator'!$C$18,P44*P45,'401K Contribution Calculator'!$C$18-O40)</f>
        <v>0</v>
      </c>
      <c r="Q36" s="9">
        <f>IF(Q44*Q45+P40&lt;='401K Contribution Calculator'!$C$18,Q44*Q45,'401K Contribution Calculator'!$C$18-P40)</f>
        <v>0</v>
      </c>
      <c r="R36" s="9">
        <f>IF(R44*R45+Q40&lt;='401K Contribution Calculator'!$C$18,R44*R45,'401K Contribution Calculator'!$C$18-Q40)</f>
        <v>0</v>
      </c>
      <c r="S36" s="9">
        <f>IF(S44*S45+R40&lt;='401K Contribution Calculator'!$C$18,S44*S45,'401K Contribution Calculator'!$C$18-R40)</f>
        <v>0</v>
      </c>
      <c r="T36" s="9">
        <f>IF(T44*T45+S40&lt;='401K Contribution Calculator'!$C$18,T44*T45,'401K Contribution Calculator'!$C$18-S40)</f>
        <v>0</v>
      </c>
      <c r="U36" s="9">
        <f>IF(U44*U45+T40&lt;='401K Contribution Calculator'!$C$18,U44*U45,'401K Contribution Calculator'!$C$18-T40)</f>
        <v>0</v>
      </c>
      <c r="V36" s="9">
        <f>IF(V44*V45+U40&lt;='401K Contribution Calculator'!$C$18,V44*V45,'401K Contribution Calculator'!$C$18-U40)</f>
        <v>0</v>
      </c>
      <c r="W36" s="9">
        <f>IF(W44*W45+V40&lt;='401K Contribution Calculator'!$C$18,W44*W45,'401K Contribution Calculator'!$C$18-V40)</f>
        <v>0</v>
      </c>
      <c r="X36" s="9">
        <f>IF(X44*X45+W40&lt;='401K Contribution Calculator'!$C$18,X44*X45,'401K Contribution Calculator'!$C$18-W40)</f>
        <v>0</v>
      </c>
      <c r="Y36" s="9">
        <f>IF(Y44*Y45+X40&lt;='401K Contribution Calculator'!$C$18,Y44*Y45,'401K Contribution Calculator'!$C$18-X40)</f>
        <v>0</v>
      </c>
    </row>
    <row r="37" spans="1:26" x14ac:dyDescent="0.25">
      <c r="A37" t="s">
        <v>11</v>
      </c>
      <c r="B37" s="19">
        <f t="shared" ref="B37:Z37" si="0">SUM(B35:B36)</f>
        <v>2493.75</v>
      </c>
      <c r="C37" s="19">
        <f t="shared" si="0"/>
        <v>2493.75</v>
      </c>
      <c r="D37" s="19">
        <f t="shared" si="0"/>
        <v>2493.75</v>
      </c>
      <c r="E37" s="19">
        <f t="shared" si="0"/>
        <v>2493.75</v>
      </c>
      <c r="F37" s="19">
        <f t="shared" si="0"/>
        <v>2493.75</v>
      </c>
      <c r="G37" s="19">
        <f t="shared" si="0"/>
        <v>2493.75</v>
      </c>
      <c r="H37" s="19">
        <f t="shared" si="0"/>
        <v>2493.75</v>
      </c>
      <c r="I37" s="19">
        <f t="shared" si="0"/>
        <v>2493.75</v>
      </c>
      <c r="J37" s="19">
        <f t="shared" si="0"/>
        <v>2493.75</v>
      </c>
      <c r="K37" s="19">
        <f t="shared" si="0"/>
        <v>2493.75</v>
      </c>
      <c r="L37" s="19">
        <f t="shared" si="0"/>
        <v>2400</v>
      </c>
      <c r="M37" s="19">
        <f t="shared" si="0"/>
        <v>0</v>
      </c>
      <c r="N37" s="19">
        <f t="shared" si="0"/>
        <v>0</v>
      </c>
      <c r="O37" s="19">
        <f t="shared" si="0"/>
        <v>0</v>
      </c>
      <c r="P37" s="19">
        <f t="shared" si="0"/>
        <v>0</v>
      </c>
      <c r="Q37" s="19">
        <f t="shared" si="0"/>
        <v>0</v>
      </c>
      <c r="R37" s="19">
        <f t="shared" si="0"/>
        <v>0</v>
      </c>
      <c r="S37" s="19">
        <f t="shared" si="0"/>
        <v>0</v>
      </c>
      <c r="T37" s="19">
        <f t="shared" si="0"/>
        <v>0</v>
      </c>
      <c r="U37" s="19">
        <f t="shared" si="0"/>
        <v>0</v>
      </c>
      <c r="V37" s="19">
        <f t="shared" si="0"/>
        <v>0</v>
      </c>
      <c r="W37" s="19">
        <f t="shared" si="0"/>
        <v>0</v>
      </c>
      <c r="X37" s="19">
        <f t="shared" si="0"/>
        <v>0</v>
      </c>
      <c r="Y37" s="19">
        <f t="shared" si="0"/>
        <v>0</v>
      </c>
      <c r="Z37" s="19">
        <f t="shared" si="0"/>
        <v>9262.5</v>
      </c>
    </row>
    <row r="39" spans="1:26" x14ac:dyDescent="0.25">
      <c r="A39" t="s">
        <v>10</v>
      </c>
      <c r="B39" s="9">
        <f>MIN(B35,IF('401K Contribution Calculator'!$C$13=0,99999,'401K Contribution Calculator'!$C$13))</f>
        <v>712.5</v>
      </c>
      <c r="C39" s="9">
        <f>MIN(C35+B39,IF('401K Contribution Calculator'!$C$13=0,99999,'401K Contribution Calculator'!$C$13))</f>
        <v>1425</v>
      </c>
      <c r="D39" s="9">
        <f>MIN(D35+C39,IF('401K Contribution Calculator'!$C$13=0,99999,'401K Contribution Calculator'!$C$13))</f>
        <v>2137.5</v>
      </c>
      <c r="E39" s="9">
        <f>MIN(E35+D39,IF('401K Contribution Calculator'!$C$13=0,99999,'401K Contribution Calculator'!$C$13))</f>
        <v>2850</v>
      </c>
      <c r="F39" s="9">
        <f>MIN(F35+E39,IF('401K Contribution Calculator'!$C$13=0,99999,'401K Contribution Calculator'!$C$13))</f>
        <v>3562.5</v>
      </c>
      <c r="G39" s="9">
        <f>MIN(G35+F39,IF('401K Contribution Calculator'!$C$13=0,99999,'401K Contribution Calculator'!$C$13))</f>
        <v>4275</v>
      </c>
      <c r="H39" s="9">
        <f>MIN(H35+G39,IF('401K Contribution Calculator'!$C$13=0,99999,'401K Contribution Calculator'!$C$13))</f>
        <v>4987.5</v>
      </c>
      <c r="I39" s="9">
        <f>MIN(I35+H39,IF('401K Contribution Calculator'!$C$13=0,99999,'401K Contribution Calculator'!$C$13))</f>
        <v>5700</v>
      </c>
      <c r="J39" s="9">
        <f>MIN(J35+I39,IF('401K Contribution Calculator'!$C$13=0,99999,'401K Contribution Calculator'!$C$13))</f>
        <v>6412.5</v>
      </c>
      <c r="K39" s="9">
        <f>MIN(K35+J39,IF('401K Contribution Calculator'!$C$13=0,99999,'401K Contribution Calculator'!$C$13))</f>
        <v>7125</v>
      </c>
      <c r="L39" s="9">
        <f>MIN(L35+K39,IF('401K Contribution Calculator'!$C$13=0,99999,'401K Contribution Calculator'!$C$13))</f>
        <v>7837.5</v>
      </c>
      <c r="M39" s="9">
        <f>MIN(M35+L39,IF('401K Contribution Calculator'!$C$13=0,99999,'401K Contribution Calculator'!$C$13))</f>
        <v>7837.5</v>
      </c>
      <c r="N39" s="9">
        <f>MIN(N35+M39,IF('401K Contribution Calculator'!$C$13=0,99999,'401K Contribution Calculator'!$C$13))</f>
        <v>7837.5</v>
      </c>
      <c r="O39" s="9">
        <f>MIN(O35+N39,IF('401K Contribution Calculator'!$C$13=0,99999,'401K Contribution Calculator'!$C$13))</f>
        <v>7837.5</v>
      </c>
      <c r="P39" s="9">
        <f>MIN(P35+O39,IF('401K Contribution Calculator'!$C$13=0,99999,'401K Contribution Calculator'!$C$13))</f>
        <v>7837.5</v>
      </c>
      <c r="Q39" s="9">
        <f>MIN(Q35+P39,IF('401K Contribution Calculator'!$C$13=0,99999,'401K Contribution Calculator'!$C$13))</f>
        <v>7837.5</v>
      </c>
      <c r="R39" s="9">
        <f>MIN(R35+Q39,IF('401K Contribution Calculator'!$C$13=0,99999,'401K Contribution Calculator'!$C$13))</f>
        <v>7837.5</v>
      </c>
      <c r="S39" s="9">
        <f>MIN(S35+R39,IF('401K Contribution Calculator'!$C$13=0,99999,'401K Contribution Calculator'!$C$13))</f>
        <v>7837.5</v>
      </c>
      <c r="T39" s="9">
        <f>MIN(T35+S39,IF('401K Contribution Calculator'!$C$13=0,99999,'401K Contribution Calculator'!$C$13))</f>
        <v>7837.5</v>
      </c>
      <c r="U39" s="9">
        <f>MIN(U35+T39,IF('401K Contribution Calculator'!$C$13=0,99999,'401K Contribution Calculator'!$C$13))</f>
        <v>7837.5</v>
      </c>
      <c r="V39" s="9">
        <f>MIN(V35+U39,IF('401K Contribution Calculator'!$C$13=0,99999,'401K Contribution Calculator'!$C$13))</f>
        <v>7837.5</v>
      </c>
      <c r="W39" s="9">
        <f>MIN(W35+V39,IF('401K Contribution Calculator'!$C$13=0,99999,'401K Contribution Calculator'!$C$13))</f>
        <v>7837.5</v>
      </c>
      <c r="X39" s="9">
        <f>MIN(X35+W39,IF('401K Contribution Calculator'!$C$13=0,99999,'401K Contribution Calculator'!$C$13))</f>
        <v>7837.5</v>
      </c>
      <c r="Y39" s="9">
        <f>MIN(Y35+X39,IF('401K Contribution Calculator'!$C$13=0,99999,'401K Contribution Calculator'!$C$13))</f>
        <v>7837.5</v>
      </c>
      <c r="Z39" s="9">
        <f>MIN(Z35+Y39,IF('401K Contribution Calculator'!$C$13=0,99999,'401K Contribution Calculator'!$C$13))</f>
        <v>17100</v>
      </c>
    </row>
    <row r="40" spans="1:26" x14ac:dyDescent="0.25">
      <c r="A40" t="s">
        <v>7</v>
      </c>
      <c r="B40" s="9">
        <f>B36</f>
        <v>1781.25</v>
      </c>
      <c r="C40" s="9">
        <f t="shared" ref="C40:Z40" si="1">B40+C36</f>
        <v>3562.5</v>
      </c>
      <c r="D40" s="9">
        <f t="shared" si="1"/>
        <v>5343.75</v>
      </c>
      <c r="E40" s="9">
        <f t="shared" si="1"/>
        <v>7125</v>
      </c>
      <c r="F40" s="9">
        <f t="shared" si="1"/>
        <v>8906.25</v>
      </c>
      <c r="G40" s="9">
        <f t="shared" si="1"/>
        <v>10687.5</v>
      </c>
      <c r="H40" s="9">
        <f t="shared" si="1"/>
        <v>12468.75</v>
      </c>
      <c r="I40" s="9">
        <f t="shared" si="1"/>
        <v>14250</v>
      </c>
      <c r="J40" s="9">
        <f t="shared" si="1"/>
        <v>16031.25</v>
      </c>
      <c r="K40" s="9">
        <f t="shared" si="1"/>
        <v>17812.5</v>
      </c>
      <c r="L40" s="9">
        <f t="shared" si="1"/>
        <v>19500</v>
      </c>
      <c r="M40" s="9">
        <f t="shared" si="1"/>
        <v>19500</v>
      </c>
      <c r="N40" s="9">
        <f t="shared" si="1"/>
        <v>19500</v>
      </c>
      <c r="O40" s="9">
        <f t="shared" si="1"/>
        <v>19500</v>
      </c>
      <c r="P40" s="9">
        <f t="shared" si="1"/>
        <v>19500</v>
      </c>
      <c r="Q40" s="9">
        <f t="shared" si="1"/>
        <v>19500</v>
      </c>
      <c r="R40" s="9">
        <f t="shared" si="1"/>
        <v>19500</v>
      </c>
      <c r="S40" s="9">
        <f t="shared" si="1"/>
        <v>19500</v>
      </c>
      <c r="T40" s="9">
        <f t="shared" si="1"/>
        <v>19500</v>
      </c>
      <c r="U40" s="9">
        <f t="shared" si="1"/>
        <v>19500</v>
      </c>
      <c r="V40" s="9">
        <f t="shared" si="1"/>
        <v>19500</v>
      </c>
      <c r="W40" s="9">
        <f t="shared" si="1"/>
        <v>19500</v>
      </c>
      <c r="X40" s="9">
        <f t="shared" si="1"/>
        <v>19500</v>
      </c>
      <c r="Y40" s="9">
        <f t="shared" si="1"/>
        <v>19500</v>
      </c>
      <c r="Z40" s="9">
        <f t="shared" si="1"/>
        <v>19500</v>
      </c>
    </row>
    <row r="41" spans="1:26" x14ac:dyDescent="0.25">
      <c r="A41" t="s">
        <v>12</v>
      </c>
      <c r="B41" s="19">
        <f>B37</f>
        <v>2493.75</v>
      </c>
      <c r="C41" s="19">
        <f t="shared" ref="C41:Z41" si="2">B41+C37</f>
        <v>4987.5</v>
      </c>
      <c r="D41" s="19">
        <f t="shared" si="2"/>
        <v>7481.25</v>
      </c>
      <c r="E41" s="19">
        <f t="shared" si="2"/>
        <v>9975</v>
      </c>
      <c r="F41" s="19">
        <f t="shared" si="2"/>
        <v>12468.75</v>
      </c>
      <c r="G41" s="19">
        <f t="shared" si="2"/>
        <v>14962.5</v>
      </c>
      <c r="H41" s="19">
        <f t="shared" si="2"/>
        <v>17456.25</v>
      </c>
      <c r="I41" s="19">
        <f t="shared" si="2"/>
        <v>19950</v>
      </c>
      <c r="J41" s="19">
        <f t="shared" si="2"/>
        <v>22443.75</v>
      </c>
      <c r="K41" s="19">
        <f t="shared" si="2"/>
        <v>24937.5</v>
      </c>
      <c r="L41" s="19">
        <f t="shared" si="2"/>
        <v>27337.5</v>
      </c>
      <c r="M41" s="19">
        <f t="shared" si="2"/>
        <v>27337.5</v>
      </c>
      <c r="N41" s="19">
        <f t="shared" si="2"/>
        <v>27337.5</v>
      </c>
      <c r="O41" s="19">
        <f t="shared" si="2"/>
        <v>27337.5</v>
      </c>
      <c r="P41" s="19">
        <f t="shared" si="2"/>
        <v>27337.5</v>
      </c>
      <c r="Q41" s="19">
        <f t="shared" si="2"/>
        <v>27337.5</v>
      </c>
      <c r="R41" s="19">
        <f t="shared" si="2"/>
        <v>27337.5</v>
      </c>
      <c r="S41" s="19">
        <f t="shared" si="2"/>
        <v>27337.5</v>
      </c>
      <c r="T41" s="19">
        <f t="shared" si="2"/>
        <v>27337.5</v>
      </c>
      <c r="U41" s="19">
        <f t="shared" si="2"/>
        <v>27337.5</v>
      </c>
      <c r="V41" s="19">
        <f t="shared" si="2"/>
        <v>27337.5</v>
      </c>
      <c r="W41" s="19">
        <f t="shared" si="2"/>
        <v>27337.5</v>
      </c>
      <c r="X41" s="19">
        <f t="shared" si="2"/>
        <v>27337.5</v>
      </c>
      <c r="Y41" s="19">
        <f t="shared" si="2"/>
        <v>27337.5</v>
      </c>
      <c r="Z41" s="19">
        <f t="shared" si="2"/>
        <v>36600</v>
      </c>
    </row>
    <row r="43" spans="1:26" x14ac:dyDescent="0.25">
      <c r="A43" t="s">
        <v>80</v>
      </c>
      <c r="B43" s="52">
        <f>MIN('401K Contribution Calculator'!$C$7,'401K Contribution Calculator'!$C$19)/COUNTA($B$34:$Y$34)</f>
        <v>11875</v>
      </c>
      <c r="C43" s="52">
        <f>MIN('401K Contribution Calculator'!$C$7,'401K Contribution Calculator'!$C$19)/COUNTA($B$34:$Y$34)</f>
        <v>11875</v>
      </c>
      <c r="D43" s="52">
        <f>MIN('401K Contribution Calculator'!$C$7,'401K Contribution Calculator'!$C$19)/COUNTA($B$34:$Y$34)</f>
        <v>11875</v>
      </c>
      <c r="E43" s="52">
        <f>MIN('401K Contribution Calculator'!$C$7,'401K Contribution Calculator'!$C$19)/COUNTA($B$34:$Y$34)</f>
        <v>11875</v>
      </c>
      <c r="F43" s="52">
        <f>MIN('401K Contribution Calculator'!$C$7,'401K Contribution Calculator'!$C$19)/COUNTA($B$34:$Y$34)</f>
        <v>11875</v>
      </c>
      <c r="G43" s="52">
        <f>MIN('401K Contribution Calculator'!$C$7,'401K Contribution Calculator'!$C$19)/COUNTA($B$34:$Y$34)</f>
        <v>11875</v>
      </c>
      <c r="H43" s="52">
        <f>MIN('401K Contribution Calculator'!$C$7,'401K Contribution Calculator'!$C$19)/COUNTA($B$34:$Y$34)</f>
        <v>11875</v>
      </c>
      <c r="I43" s="52">
        <f>MIN('401K Contribution Calculator'!$C$7,'401K Contribution Calculator'!$C$19)/COUNTA($B$34:$Y$34)</f>
        <v>11875</v>
      </c>
      <c r="J43" s="52">
        <f>MIN('401K Contribution Calculator'!$C$7,'401K Contribution Calculator'!$C$19)/COUNTA($B$34:$Y$34)</f>
        <v>11875</v>
      </c>
      <c r="K43" s="52">
        <f>MIN('401K Contribution Calculator'!$C$7,'401K Contribution Calculator'!$C$19)/COUNTA($B$34:$Y$34)</f>
        <v>11875</v>
      </c>
      <c r="L43" s="52">
        <f>MIN('401K Contribution Calculator'!$C$7,'401K Contribution Calculator'!$C$19)/COUNTA($B$34:$Y$34)</f>
        <v>11875</v>
      </c>
      <c r="M43" s="52">
        <f>MIN('401K Contribution Calculator'!$C$7,'401K Contribution Calculator'!$C$19)/COUNTA($B$34:$Y$34)</f>
        <v>11875</v>
      </c>
      <c r="N43" s="52">
        <f>MIN('401K Contribution Calculator'!$C$7,'401K Contribution Calculator'!$C$19)/COUNTA($B$34:$Y$34)</f>
        <v>11875</v>
      </c>
      <c r="O43" s="52">
        <f>MIN('401K Contribution Calculator'!$C$7,'401K Contribution Calculator'!$C$19)/COUNTA($B$34:$Y$34)</f>
        <v>11875</v>
      </c>
      <c r="P43" s="52">
        <f>MIN('401K Contribution Calculator'!$C$7,'401K Contribution Calculator'!$C$19)/COUNTA($B$34:$Y$34)</f>
        <v>11875</v>
      </c>
      <c r="Q43" s="52">
        <f>MIN('401K Contribution Calculator'!$C$7,'401K Contribution Calculator'!$C$19)/COUNTA($B$34:$Y$34)</f>
        <v>11875</v>
      </c>
      <c r="R43" s="52">
        <f>MIN('401K Contribution Calculator'!$C$7,'401K Contribution Calculator'!$C$19)/COUNTA($B$34:$Y$34)</f>
        <v>11875</v>
      </c>
      <c r="S43" s="52">
        <f>MIN('401K Contribution Calculator'!$C$7,'401K Contribution Calculator'!$C$19)/COUNTA($B$34:$Y$34)</f>
        <v>11875</v>
      </c>
      <c r="T43" s="52">
        <f>MIN('401K Contribution Calculator'!$C$7,'401K Contribution Calculator'!$C$19)/COUNTA($B$34:$Y$34)</f>
        <v>11875</v>
      </c>
      <c r="U43" s="52">
        <f>MIN('401K Contribution Calculator'!$C$7,'401K Contribution Calculator'!$C$19)/COUNTA($B$34:$Y$34)</f>
        <v>11875</v>
      </c>
      <c r="V43" s="52">
        <f>MIN('401K Contribution Calculator'!$C$7,'401K Contribution Calculator'!$C$19)/COUNTA($B$34:$Y$34)</f>
        <v>11875</v>
      </c>
      <c r="W43" s="52">
        <f>MIN('401K Contribution Calculator'!$C$7,'401K Contribution Calculator'!$C$19)/COUNTA($B$34:$Y$34)</f>
        <v>11875</v>
      </c>
      <c r="X43" s="52">
        <f>MIN('401K Contribution Calculator'!$C$7,'401K Contribution Calculator'!$C$19)/COUNTA($B$34:$Y$34)</f>
        <v>11875</v>
      </c>
      <c r="Y43" s="52">
        <f>MIN('401K Contribution Calculator'!$C$7,'401K Contribution Calculator'!$C$19)/COUNTA($B$34:$Y$34)</f>
        <v>11875</v>
      </c>
    </row>
    <row r="44" spans="1:26" x14ac:dyDescent="0.25">
      <c r="A44" t="s">
        <v>8</v>
      </c>
      <c r="B44" s="52">
        <f>'401K Contribution Calculator'!$C$7/COUNTA($B$34:$Y$34)</f>
        <v>11875</v>
      </c>
      <c r="C44" s="52">
        <f>'401K Contribution Calculator'!$C$7/COUNTA($B$34:$Y$34)</f>
        <v>11875</v>
      </c>
      <c r="D44" s="52">
        <f>'401K Contribution Calculator'!$C$7/COUNTA($B$34:$Y$34)</f>
        <v>11875</v>
      </c>
      <c r="E44" s="52">
        <f>'401K Contribution Calculator'!$C$7/COUNTA($B$34:$Y$34)</f>
        <v>11875</v>
      </c>
      <c r="F44" s="52">
        <f>'401K Contribution Calculator'!$C$7/COUNTA($B$34:$Y$34)</f>
        <v>11875</v>
      </c>
      <c r="G44" s="52">
        <f>'401K Contribution Calculator'!$C$7/COUNTA($B$34:$Y$34)</f>
        <v>11875</v>
      </c>
      <c r="H44" s="52">
        <f>'401K Contribution Calculator'!$C$7/COUNTA($B$34:$Y$34)</f>
        <v>11875</v>
      </c>
      <c r="I44" s="52">
        <f>'401K Contribution Calculator'!$C$7/COUNTA($B$34:$Y$34)</f>
        <v>11875</v>
      </c>
      <c r="J44" s="52">
        <f>'401K Contribution Calculator'!$C$7/COUNTA($B$34:$Y$34)</f>
        <v>11875</v>
      </c>
      <c r="K44" s="52">
        <f>'401K Contribution Calculator'!$C$7/COUNTA($B$34:$Y$34)</f>
        <v>11875</v>
      </c>
      <c r="L44" s="52">
        <f>'401K Contribution Calculator'!$C$7/COUNTA($B$34:$Y$34)</f>
        <v>11875</v>
      </c>
      <c r="M44" s="52">
        <f>'401K Contribution Calculator'!$C$7/COUNTA($B$34:$Y$34)</f>
        <v>11875</v>
      </c>
      <c r="N44" s="52">
        <f>'401K Contribution Calculator'!$C$7/COUNTA($B$34:$Y$34)</f>
        <v>11875</v>
      </c>
      <c r="O44" s="52">
        <f>'401K Contribution Calculator'!$C$7/COUNTA($B$34:$Y$34)</f>
        <v>11875</v>
      </c>
      <c r="P44" s="52">
        <f>'401K Contribution Calculator'!$C$7/COUNTA($B$34:$Y$34)</f>
        <v>11875</v>
      </c>
      <c r="Q44" s="52">
        <f>'401K Contribution Calculator'!$C$7/COUNTA($B$34:$Y$34)</f>
        <v>11875</v>
      </c>
      <c r="R44" s="52">
        <f>'401K Contribution Calculator'!$C$7/COUNTA($B$34:$Y$34)</f>
        <v>11875</v>
      </c>
      <c r="S44" s="52">
        <f>'401K Contribution Calculator'!$C$7/COUNTA($B$34:$Y$34)</f>
        <v>11875</v>
      </c>
      <c r="T44" s="52">
        <f>'401K Contribution Calculator'!$C$7/COUNTA($B$34:$Y$34)</f>
        <v>11875</v>
      </c>
      <c r="U44" s="52">
        <f>'401K Contribution Calculator'!$C$7/COUNTA($B$34:$Y$34)</f>
        <v>11875</v>
      </c>
      <c r="V44" s="52">
        <f>'401K Contribution Calculator'!$C$7/COUNTA($B$34:$Y$34)</f>
        <v>11875</v>
      </c>
      <c r="W44" s="52">
        <f>'401K Contribution Calculator'!$C$7/COUNTA($B$34:$Y$34)</f>
        <v>11875</v>
      </c>
      <c r="X44" s="52">
        <f>'401K Contribution Calculator'!$C$7/COUNTA($B$34:$Y$34)</f>
        <v>11875</v>
      </c>
      <c r="Y44" s="52">
        <f>'401K Contribution Calculator'!$C$7/COUNTA($B$34:$Y$34)</f>
        <v>11875</v>
      </c>
      <c r="Z44" s="2"/>
    </row>
    <row r="45" spans="1:26" x14ac:dyDescent="0.25">
      <c r="A45" t="s">
        <v>9</v>
      </c>
      <c r="B45" s="20">
        <f>'401K Contribution Calculator'!$C$8</f>
        <v>0.15</v>
      </c>
      <c r="C45" s="20">
        <f>'401K Contribution Calculator'!$C$8</f>
        <v>0.15</v>
      </c>
      <c r="D45" s="20">
        <f>'401K Contribution Calculator'!$C$8</f>
        <v>0.15</v>
      </c>
      <c r="E45" s="20">
        <f>'401K Contribution Calculator'!$C$8</f>
        <v>0.15</v>
      </c>
      <c r="F45" s="20">
        <f>'401K Contribution Calculator'!$C$8</f>
        <v>0.15</v>
      </c>
      <c r="G45" s="20">
        <f>'401K Contribution Calculator'!$C$8</f>
        <v>0.15</v>
      </c>
      <c r="H45" s="20">
        <f>'401K Contribution Calculator'!$C$8</f>
        <v>0.15</v>
      </c>
      <c r="I45" s="20">
        <f>'401K Contribution Calculator'!$C$8</f>
        <v>0.15</v>
      </c>
      <c r="J45" s="20">
        <f>'401K Contribution Calculator'!$C$8</f>
        <v>0.15</v>
      </c>
      <c r="K45" s="20">
        <f>'401K Contribution Calculator'!$C$8</f>
        <v>0.15</v>
      </c>
      <c r="L45" s="20">
        <f>'401K Contribution Calculator'!$C$8</f>
        <v>0.15</v>
      </c>
      <c r="M45" s="20">
        <f>'401K Contribution Calculator'!$C$8</f>
        <v>0.15</v>
      </c>
      <c r="N45" s="20">
        <f>'401K Contribution Calculator'!$C$8</f>
        <v>0.15</v>
      </c>
      <c r="O45" s="20">
        <f>'401K Contribution Calculator'!$C$8</f>
        <v>0.15</v>
      </c>
      <c r="P45" s="20">
        <f>'401K Contribution Calculator'!$C$8</f>
        <v>0.15</v>
      </c>
      <c r="Q45" s="20">
        <f>'401K Contribution Calculator'!$C$8</f>
        <v>0.15</v>
      </c>
      <c r="R45" s="20">
        <f>'401K Contribution Calculator'!$C$8</f>
        <v>0.15</v>
      </c>
      <c r="S45" s="20">
        <f>'401K Contribution Calculator'!$C$8</f>
        <v>0.15</v>
      </c>
      <c r="T45" s="20">
        <f>'401K Contribution Calculator'!$C$8</f>
        <v>0.15</v>
      </c>
      <c r="U45" s="20">
        <f>'401K Contribution Calculator'!$C$8</f>
        <v>0.15</v>
      </c>
      <c r="V45" s="20">
        <f>'401K Contribution Calculator'!$C$8</f>
        <v>0.15</v>
      </c>
      <c r="W45" s="20">
        <f>'401K Contribution Calculator'!$C$8</f>
        <v>0.15</v>
      </c>
      <c r="X45" s="20">
        <f>'401K Contribution Calculator'!$C$8</f>
        <v>0.15</v>
      </c>
      <c r="Y45" s="20">
        <f>'401K Contribution Calculator'!$C$8</f>
        <v>0.15</v>
      </c>
      <c r="Z45" s="4"/>
    </row>
    <row r="46" spans="1:26" x14ac:dyDescent="0.25">
      <c r="A46" t="s">
        <v>6</v>
      </c>
      <c r="B46" s="4">
        <f>'401K Contribution Calculator'!$C$12</f>
        <v>0.06</v>
      </c>
      <c r="C46" s="4">
        <f>'401K Contribution Calculator'!$C$12</f>
        <v>0.06</v>
      </c>
      <c r="D46" s="4">
        <f>'401K Contribution Calculator'!$C$12</f>
        <v>0.06</v>
      </c>
      <c r="E46" s="4">
        <f>'401K Contribution Calculator'!$C$12</f>
        <v>0.06</v>
      </c>
      <c r="F46" s="4">
        <f>'401K Contribution Calculator'!$C$12</f>
        <v>0.06</v>
      </c>
      <c r="G46" s="4">
        <f>'401K Contribution Calculator'!$C$12</f>
        <v>0.06</v>
      </c>
      <c r="H46" s="4">
        <f>'401K Contribution Calculator'!$C$12</f>
        <v>0.06</v>
      </c>
      <c r="I46" s="4">
        <f>'401K Contribution Calculator'!$C$12</f>
        <v>0.06</v>
      </c>
      <c r="J46" s="4">
        <f>'401K Contribution Calculator'!$C$12</f>
        <v>0.06</v>
      </c>
      <c r="K46" s="4">
        <f>'401K Contribution Calculator'!$C$12</f>
        <v>0.06</v>
      </c>
      <c r="L46" s="4">
        <f>'401K Contribution Calculator'!$C$12</f>
        <v>0.06</v>
      </c>
      <c r="M46" s="4">
        <f>'401K Contribution Calculator'!$C$12</f>
        <v>0.06</v>
      </c>
      <c r="N46" s="4">
        <f>'401K Contribution Calculator'!$C$12</f>
        <v>0.06</v>
      </c>
      <c r="O46" s="4">
        <f>'401K Contribution Calculator'!$C$12</f>
        <v>0.06</v>
      </c>
      <c r="P46" s="4">
        <f>'401K Contribution Calculator'!$C$12</f>
        <v>0.06</v>
      </c>
      <c r="Q46" s="4">
        <f>'401K Contribution Calculator'!$C$12</f>
        <v>0.06</v>
      </c>
      <c r="R46" s="4">
        <f>'401K Contribution Calculator'!$C$12</f>
        <v>0.06</v>
      </c>
      <c r="S46" s="4">
        <f>'401K Contribution Calculator'!$C$12</f>
        <v>0.06</v>
      </c>
      <c r="T46" s="4">
        <f>'401K Contribution Calculator'!$C$12</f>
        <v>0.06</v>
      </c>
      <c r="U46" s="4">
        <f>'401K Contribution Calculator'!$C$12</f>
        <v>0.06</v>
      </c>
      <c r="V46" s="4">
        <f>'401K Contribution Calculator'!$C$12</f>
        <v>0.06</v>
      </c>
      <c r="W46" s="4">
        <f>'401K Contribution Calculator'!$C$12</f>
        <v>0.06</v>
      </c>
      <c r="X46" s="4">
        <f>'401K Contribution Calculator'!$C$12</f>
        <v>0.06</v>
      </c>
      <c r="Y46" s="4">
        <f>'401K Contribution Calculator'!$C$12</f>
        <v>0.06</v>
      </c>
      <c r="Z46" s="4"/>
    </row>
    <row r="47" spans="1:26" x14ac:dyDescent="0.25">
      <c r="B47" s="2"/>
      <c r="C47" s="2"/>
      <c r="D47" s="2"/>
      <c r="E47" s="2"/>
      <c r="F47" s="2"/>
      <c r="G47" s="2"/>
      <c r="H47" s="2"/>
      <c r="I47" s="2"/>
      <c r="J47" s="2"/>
      <c r="K47" s="2"/>
      <c r="L47" s="2"/>
      <c r="M47" s="2"/>
      <c r="N47" s="2"/>
      <c r="O47" s="2"/>
      <c r="P47" s="2"/>
      <c r="Q47" s="2"/>
      <c r="R47" s="2"/>
      <c r="S47" s="2"/>
      <c r="T47" s="2"/>
      <c r="U47" s="2"/>
      <c r="V47" s="2"/>
      <c r="W47" s="2"/>
      <c r="X47" s="2"/>
      <c r="Y47" s="2"/>
      <c r="Z47" s="2"/>
    </row>
    <row r="48" spans="1:26" x14ac:dyDescent="0.25">
      <c r="B48" t="s">
        <v>62</v>
      </c>
    </row>
    <row r="49" spans="2:2" x14ac:dyDescent="0.25">
      <c r="B49" t="s">
        <v>63</v>
      </c>
    </row>
    <row r="50" spans="2:2" x14ac:dyDescent="0.25">
      <c r="B50" t="s">
        <v>64</v>
      </c>
    </row>
    <row r="52" spans="2:2" x14ac:dyDescent="0.25">
      <c r="B52" t="s">
        <v>65</v>
      </c>
    </row>
    <row r="53" spans="2:2" x14ac:dyDescent="0.25">
      <c r="B53" t="s">
        <v>66</v>
      </c>
    </row>
  </sheetData>
  <pageMargins left="0.7" right="0.7" top="0.75" bottom="0.75" header="0.3" footer="0.3"/>
  <pageSetup scale="4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FCB758-222A-490B-91D1-A156B0F87E5A}">
  <dimension ref="A2:U140"/>
  <sheetViews>
    <sheetView zoomScale="85" zoomScaleNormal="85" workbookViewId="0">
      <selection activeCell="A38" sqref="A38"/>
    </sheetView>
  </sheetViews>
  <sheetFormatPr defaultRowHeight="15" x14ac:dyDescent="0.25"/>
  <cols>
    <col min="1" max="1" width="50.42578125" customWidth="1"/>
    <col min="2" max="2" width="22" customWidth="1"/>
    <col min="3" max="3" width="16.5703125" customWidth="1"/>
    <col min="4" max="4" width="24.28515625" customWidth="1"/>
    <col min="5" max="10" width="14.85546875" bestFit="1" customWidth="1"/>
    <col min="11" max="22" width="13" bestFit="1" customWidth="1"/>
    <col min="23" max="24" width="11.85546875" bestFit="1" customWidth="1"/>
    <col min="25" max="27" width="11.5703125" bestFit="1" customWidth="1"/>
    <col min="28" max="28" width="11.28515625" customWidth="1"/>
    <col min="29" max="29" width="12.140625" customWidth="1"/>
  </cols>
  <sheetData>
    <row r="2" spans="1:21" x14ac:dyDescent="0.25">
      <c r="A2" t="s">
        <v>1</v>
      </c>
      <c r="B2" t="s">
        <v>2</v>
      </c>
      <c r="C2" s="9">
        <f>'401K Contribution Calculator'!C19</f>
        <v>285000</v>
      </c>
      <c r="D2" s="4"/>
      <c r="E2" s="4"/>
      <c r="F2" s="58" t="s">
        <v>74</v>
      </c>
      <c r="G2" s="4"/>
      <c r="H2" s="4"/>
      <c r="I2" s="4"/>
      <c r="J2" s="4"/>
      <c r="K2" s="4"/>
    </row>
    <row r="3" spans="1:21" x14ac:dyDescent="0.25">
      <c r="B3" t="s">
        <v>73</v>
      </c>
      <c r="C3" s="9">
        <f>'401K Contribution Calculator'!C18</f>
        <v>19500</v>
      </c>
      <c r="F3" s="59" t="s">
        <v>75</v>
      </c>
      <c r="O3" s="8"/>
      <c r="P3" s="1"/>
    </row>
    <row r="4" spans="1:21" x14ac:dyDescent="0.25">
      <c r="B4" s="9">
        <f t="shared" ref="B4:J4" si="0">IF(B5&gt;$C$2,$C$2,B5)</f>
        <v>50000</v>
      </c>
      <c r="C4" s="9">
        <f t="shared" si="0"/>
        <v>100000</v>
      </c>
      <c r="D4" s="9">
        <f t="shared" si="0"/>
        <v>150000</v>
      </c>
      <c r="E4" s="9">
        <f t="shared" si="0"/>
        <v>200000</v>
      </c>
      <c r="F4" s="9">
        <f t="shared" si="0"/>
        <v>250000</v>
      </c>
      <c r="G4" s="9">
        <f t="shared" si="0"/>
        <v>285000</v>
      </c>
      <c r="H4" s="9">
        <f t="shared" si="0"/>
        <v>285000</v>
      </c>
      <c r="I4" s="9">
        <f t="shared" si="0"/>
        <v>285000</v>
      </c>
      <c r="J4" s="9">
        <f t="shared" si="0"/>
        <v>285000</v>
      </c>
      <c r="T4" s="4"/>
    </row>
    <row r="5" spans="1:21" x14ac:dyDescent="0.25">
      <c r="A5" t="s">
        <v>69</v>
      </c>
      <c r="B5" s="10">
        <v>50000</v>
      </c>
      <c r="C5" s="10">
        <v>100000</v>
      </c>
      <c r="D5" s="10">
        <f>C5+50000</f>
        <v>150000</v>
      </c>
      <c r="E5" s="10">
        <f>D5+50000</f>
        <v>200000</v>
      </c>
      <c r="F5" s="10">
        <f>E5+50000</f>
        <v>250000</v>
      </c>
      <c r="G5" s="10">
        <v>285000</v>
      </c>
      <c r="H5" s="10">
        <f>F5+50000</f>
        <v>300000</v>
      </c>
      <c r="I5" s="10">
        <f>H5+50000</f>
        <v>350000</v>
      </c>
      <c r="J5" s="10">
        <f>I5+50000</f>
        <v>400000</v>
      </c>
    </row>
    <row r="6" spans="1:21" x14ac:dyDescent="0.25">
      <c r="A6" s="11">
        <v>0.02</v>
      </c>
      <c r="B6" s="13">
        <f t="shared" ref="B6:J11" si="1">IF($A6*B$4&gt;$C$3,$C$3,$A6*B$4)</f>
        <v>1000</v>
      </c>
      <c r="C6" s="13">
        <f t="shared" si="1"/>
        <v>2000</v>
      </c>
      <c r="D6" s="13">
        <f t="shared" si="1"/>
        <v>3000</v>
      </c>
      <c r="E6" s="13">
        <f t="shared" si="1"/>
        <v>4000</v>
      </c>
      <c r="F6" s="13">
        <f t="shared" si="1"/>
        <v>5000</v>
      </c>
      <c r="G6" s="12">
        <f t="shared" si="1"/>
        <v>5700</v>
      </c>
      <c r="H6" s="12">
        <f t="shared" si="1"/>
        <v>5700</v>
      </c>
      <c r="I6" s="12">
        <f t="shared" si="1"/>
        <v>5700</v>
      </c>
      <c r="J6" s="12">
        <f t="shared" si="1"/>
        <v>5700</v>
      </c>
      <c r="T6" s="9"/>
    </row>
    <row r="7" spans="1:21" x14ac:dyDescent="0.25">
      <c r="A7" s="11">
        <v>0.03</v>
      </c>
      <c r="B7" s="12">
        <f t="shared" si="1"/>
        <v>1500</v>
      </c>
      <c r="C7" s="13">
        <f t="shared" si="1"/>
        <v>3000</v>
      </c>
      <c r="D7" s="12">
        <f t="shared" si="1"/>
        <v>4500</v>
      </c>
      <c r="E7" s="13">
        <f t="shared" si="1"/>
        <v>6000</v>
      </c>
      <c r="F7" s="12">
        <f t="shared" si="1"/>
        <v>7500</v>
      </c>
      <c r="G7" s="12">
        <f t="shared" si="1"/>
        <v>8550</v>
      </c>
      <c r="H7" s="12">
        <f t="shared" si="1"/>
        <v>8550</v>
      </c>
      <c r="I7" s="12">
        <f t="shared" si="1"/>
        <v>8550</v>
      </c>
      <c r="J7" s="12">
        <f t="shared" si="1"/>
        <v>8550</v>
      </c>
      <c r="T7" s="10"/>
    </row>
    <row r="8" spans="1:21" x14ac:dyDescent="0.25">
      <c r="A8" s="11">
        <v>0.04</v>
      </c>
      <c r="B8" s="13">
        <f t="shared" si="1"/>
        <v>2000</v>
      </c>
      <c r="C8" s="13">
        <f t="shared" si="1"/>
        <v>4000</v>
      </c>
      <c r="D8" s="13">
        <f t="shared" si="1"/>
        <v>6000</v>
      </c>
      <c r="E8" s="13">
        <f t="shared" si="1"/>
        <v>8000</v>
      </c>
      <c r="F8" s="13">
        <f t="shared" si="1"/>
        <v>10000</v>
      </c>
      <c r="G8" s="12">
        <f t="shared" si="1"/>
        <v>11400</v>
      </c>
      <c r="H8" s="12">
        <f t="shared" si="1"/>
        <v>11400</v>
      </c>
      <c r="I8" s="12">
        <f t="shared" si="1"/>
        <v>11400</v>
      </c>
      <c r="J8" s="12">
        <f t="shared" si="1"/>
        <v>11400</v>
      </c>
      <c r="T8" s="12"/>
    </row>
    <row r="9" spans="1:21" x14ac:dyDescent="0.25">
      <c r="A9" s="11">
        <v>0.05</v>
      </c>
      <c r="B9" s="12">
        <f t="shared" si="1"/>
        <v>2500</v>
      </c>
      <c r="C9" s="13">
        <f t="shared" si="1"/>
        <v>5000</v>
      </c>
      <c r="D9" s="12">
        <f t="shared" si="1"/>
        <v>7500</v>
      </c>
      <c r="E9" s="13">
        <f t="shared" si="1"/>
        <v>10000</v>
      </c>
      <c r="F9" s="12">
        <f t="shared" si="1"/>
        <v>12500</v>
      </c>
      <c r="G9" s="12">
        <f t="shared" si="1"/>
        <v>14250</v>
      </c>
      <c r="H9" s="12">
        <f t="shared" si="1"/>
        <v>14250</v>
      </c>
      <c r="I9" s="12">
        <f t="shared" si="1"/>
        <v>14250</v>
      </c>
      <c r="J9" s="12">
        <f t="shared" si="1"/>
        <v>14250</v>
      </c>
      <c r="T9" s="12"/>
      <c r="U9" s="4"/>
    </row>
    <row r="10" spans="1:21" x14ac:dyDescent="0.25">
      <c r="A10" s="11">
        <v>0.06</v>
      </c>
      <c r="B10" s="13">
        <f t="shared" si="1"/>
        <v>3000</v>
      </c>
      <c r="C10" s="13">
        <f t="shared" si="1"/>
        <v>6000</v>
      </c>
      <c r="D10" s="13">
        <f t="shared" si="1"/>
        <v>9000</v>
      </c>
      <c r="E10" s="13">
        <f t="shared" si="1"/>
        <v>12000</v>
      </c>
      <c r="F10" s="13">
        <f t="shared" si="1"/>
        <v>15000</v>
      </c>
      <c r="G10" s="12">
        <f t="shared" si="1"/>
        <v>17100</v>
      </c>
      <c r="H10" s="12">
        <f t="shared" si="1"/>
        <v>17100</v>
      </c>
      <c r="I10" s="12">
        <f t="shared" si="1"/>
        <v>17100</v>
      </c>
      <c r="J10" s="12">
        <f t="shared" si="1"/>
        <v>17100</v>
      </c>
      <c r="T10" s="12"/>
      <c r="U10" s="13"/>
    </row>
    <row r="11" spans="1:21" x14ac:dyDescent="0.25">
      <c r="A11" s="11">
        <v>7.0000000000000007E-2</v>
      </c>
      <c r="B11" s="13">
        <f t="shared" si="1"/>
        <v>3500.0000000000005</v>
      </c>
      <c r="C11" s="13">
        <f t="shared" si="1"/>
        <v>7000.0000000000009</v>
      </c>
      <c r="D11" s="13">
        <f t="shared" si="1"/>
        <v>10500.000000000002</v>
      </c>
      <c r="E11" s="13">
        <f t="shared" si="1"/>
        <v>14000.000000000002</v>
      </c>
      <c r="F11" s="13">
        <f t="shared" si="1"/>
        <v>17500</v>
      </c>
      <c r="G11" s="12">
        <f t="shared" si="1"/>
        <v>19500</v>
      </c>
      <c r="H11" s="12">
        <f t="shared" si="1"/>
        <v>19500</v>
      </c>
      <c r="I11" s="12">
        <f t="shared" si="1"/>
        <v>19500</v>
      </c>
      <c r="J11" s="12">
        <f t="shared" si="1"/>
        <v>19500</v>
      </c>
      <c r="T11" s="12"/>
      <c r="U11" s="12"/>
    </row>
    <row r="12" spans="1:21" x14ac:dyDescent="0.25">
      <c r="A12" s="4" t="s">
        <v>70</v>
      </c>
      <c r="B12" s="6">
        <f t="shared" ref="B12:J12" si="2">$C3/B5</f>
        <v>0.39</v>
      </c>
      <c r="C12" s="6">
        <f t="shared" si="2"/>
        <v>0.19500000000000001</v>
      </c>
      <c r="D12" s="6">
        <f t="shared" si="2"/>
        <v>0.13</v>
      </c>
      <c r="E12" s="6">
        <f t="shared" si="2"/>
        <v>9.7500000000000003E-2</v>
      </c>
      <c r="F12" s="6">
        <f t="shared" si="2"/>
        <v>7.8E-2</v>
      </c>
      <c r="G12" s="14">
        <f t="shared" si="2"/>
        <v>6.8421052631578952E-2</v>
      </c>
      <c r="H12" s="14">
        <f t="shared" si="2"/>
        <v>6.5000000000000002E-2</v>
      </c>
      <c r="I12" s="14">
        <f t="shared" si="2"/>
        <v>5.5714285714285716E-2</v>
      </c>
      <c r="J12" s="14">
        <f t="shared" si="2"/>
        <v>4.8750000000000002E-2</v>
      </c>
      <c r="T12" s="12"/>
    </row>
    <row r="13" spans="1:21" x14ac:dyDescent="0.25">
      <c r="E13" s="2"/>
      <c r="F13" s="2"/>
      <c r="T13" s="12"/>
    </row>
    <row r="14" spans="1:21" x14ac:dyDescent="0.25">
      <c r="B14" s="5"/>
      <c r="E14" s="2"/>
      <c r="F14" s="2"/>
      <c r="T14" s="14"/>
    </row>
    <row r="15" spans="1:21" x14ac:dyDescent="0.25">
      <c r="E15" s="15"/>
      <c r="F15" s="2"/>
    </row>
    <row r="16" spans="1:21" x14ac:dyDescent="0.25">
      <c r="D16" s="2"/>
    </row>
    <row r="17" spans="3:10" x14ac:dyDescent="0.25">
      <c r="D17" s="2"/>
      <c r="E17" s="5"/>
    </row>
    <row r="19" spans="3:10" x14ac:dyDescent="0.25">
      <c r="J19" s="7"/>
    </row>
    <row r="20" spans="3:10" x14ac:dyDescent="0.25">
      <c r="E20" s="5"/>
    </row>
    <row r="25" spans="3:10" x14ac:dyDescent="0.25">
      <c r="C25" s="5"/>
      <c r="D25" s="5"/>
    </row>
    <row r="37" spans="1:2" x14ac:dyDescent="0.25">
      <c r="A37" t="s">
        <v>81</v>
      </c>
    </row>
    <row r="38" spans="1:2" x14ac:dyDescent="0.25">
      <c r="A38" s="56" t="s">
        <v>67</v>
      </c>
      <c r="B38" s="10">
        <f>'401K Contribution Calculator'!C18</f>
        <v>19500</v>
      </c>
    </row>
    <row r="39" spans="1:2" x14ac:dyDescent="0.25">
      <c r="A39" s="55" t="s">
        <v>68</v>
      </c>
      <c r="B39" t="s">
        <v>3</v>
      </c>
    </row>
    <row r="40" spans="1:2" x14ac:dyDescent="0.25">
      <c r="A40" s="62">
        <v>50000</v>
      </c>
      <c r="B40" s="7">
        <f t="shared" ref="B40:B50" si="3">$B$38/A40</f>
        <v>0.39</v>
      </c>
    </row>
    <row r="41" spans="1:2" x14ac:dyDescent="0.25">
      <c r="A41" s="62">
        <v>100000</v>
      </c>
      <c r="B41" s="7">
        <f t="shared" si="3"/>
        <v>0.19500000000000001</v>
      </c>
    </row>
    <row r="42" spans="1:2" x14ac:dyDescent="0.25">
      <c r="A42" s="62">
        <f>A41+50000</f>
        <v>150000</v>
      </c>
      <c r="B42" s="7">
        <f t="shared" si="3"/>
        <v>0.13</v>
      </c>
    </row>
    <row r="43" spans="1:2" x14ac:dyDescent="0.25">
      <c r="A43" s="62">
        <f>A42+50000</f>
        <v>200000</v>
      </c>
      <c r="B43" s="7">
        <f t="shared" si="3"/>
        <v>9.7500000000000003E-2</v>
      </c>
    </row>
    <row r="44" spans="1:2" x14ac:dyDescent="0.25">
      <c r="A44" s="62">
        <f>A43+50000</f>
        <v>250000</v>
      </c>
      <c r="B44" s="7">
        <f t="shared" si="3"/>
        <v>7.8E-2</v>
      </c>
    </row>
    <row r="45" spans="1:2" x14ac:dyDescent="0.25">
      <c r="A45" s="62">
        <v>285000</v>
      </c>
      <c r="B45" s="7">
        <f t="shared" si="3"/>
        <v>6.8421052631578952E-2</v>
      </c>
    </row>
    <row r="46" spans="1:2" x14ac:dyDescent="0.25">
      <c r="A46" s="62">
        <f>A44+50000</f>
        <v>300000</v>
      </c>
      <c r="B46" s="7">
        <f t="shared" si="3"/>
        <v>6.5000000000000002E-2</v>
      </c>
    </row>
    <row r="47" spans="1:2" x14ac:dyDescent="0.25">
      <c r="A47" s="62">
        <f>A46+50000</f>
        <v>350000</v>
      </c>
      <c r="B47" s="7">
        <f t="shared" si="3"/>
        <v>5.5714285714285716E-2</v>
      </c>
    </row>
    <row r="48" spans="1:2" x14ac:dyDescent="0.25">
      <c r="A48" s="62">
        <f>A47+50000</f>
        <v>400000</v>
      </c>
      <c r="B48" s="7">
        <f t="shared" si="3"/>
        <v>4.8750000000000002E-2</v>
      </c>
    </row>
    <row r="49" spans="1:2" x14ac:dyDescent="0.25">
      <c r="A49" s="62">
        <f>A48+50000</f>
        <v>450000</v>
      </c>
      <c r="B49" s="7">
        <f t="shared" si="3"/>
        <v>4.3333333333333335E-2</v>
      </c>
    </row>
    <row r="50" spans="1:2" x14ac:dyDescent="0.25">
      <c r="A50" s="62">
        <f>A49+50000</f>
        <v>500000</v>
      </c>
      <c r="B50" s="7">
        <f t="shared" si="3"/>
        <v>3.9E-2</v>
      </c>
    </row>
    <row r="51" spans="1:2" x14ac:dyDescent="0.25">
      <c r="A51" s="62"/>
      <c r="B51" s="7"/>
    </row>
    <row r="52" spans="1:2" x14ac:dyDescent="0.25">
      <c r="A52" s="62"/>
      <c r="B52" s="7"/>
    </row>
    <row r="53" spans="1:2" x14ac:dyDescent="0.25">
      <c r="A53" s="62"/>
      <c r="B53" s="7"/>
    </row>
    <row r="56" spans="1:2" x14ac:dyDescent="0.25">
      <c r="A56" s="2"/>
    </row>
    <row r="57" spans="1:2" x14ac:dyDescent="0.25">
      <c r="A57" s="2"/>
    </row>
    <row r="58" spans="1:2" x14ac:dyDescent="0.25">
      <c r="A58" s="2"/>
    </row>
    <row r="59" spans="1:2" x14ac:dyDescent="0.25">
      <c r="A59" s="3"/>
    </row>
    <row r="60" spans="1:2" x14ac:dyDescent="0.25">
      <c r="A60" s="2"/>
    </row>
    <row r="61" spans="1:2" x14ac:dyDescent="0.25">
      <c r="A61" s="2"/>
    </row>
    <row r="117" spans="1:10" x14ac:dyDescent="0.25">
      <c r="B117" s="4">
        <v>0</v>
      </c>
      <c r="C117" s="4">
        <v>0.01</v>
      </c>
      <c r="D117" s="4">
        <v>0.02</v>
      </c>
      <c r="E117" s="4">
        <v>0.03</v>
      </c>
      <c r="F117" s="4">
        <v>0.04</v>
      </c>
      <c r="G117" s="4">
        <v>0.05</v>
      </c>
      <c r="H117" s="4">
        <v>0.06</v>
      </c>
      <c r="I117" s="4">
        <v>7.0000000000000007E-2</v>
      </c>
      <c r="J117" s="4">
        <v>0.08</v>
      </c>
    </row>
    <row r="118" spans="1:10" x14ac:dyDescent="0.25">
      <c r="A118" s="9">
        <v>50000</v>
      </c>
    </row>
    <row r="119" spans="1:10" x14ac:dyDescent="0.25">
      <c r="A119" s="9">
        <f>A118+25000</f>
        <v>75000</v>
      </c>
    </row>
    <row r="120" spans="1:10" x14ac:dyDescent="0.25">
      <c r="A120" s="9">
        <f t="shared" ref="A120:A140" si="4">A119+25000</f>
        <v>100000</v>
      </c>
    </row>
    <row r="121" spans="1:10" x14ac:dyDescent="0.25">
      <c r="A121" s="9">
        <f t="shared" si="4"/>
        <v>125000</v>
      </c>
    </row>
    <row r="122" spans="1:10" x14ac:dyDescent="0.25">
      <c r="A122" s="9">
        <f t="shared" si="4"/>
        <v>150000</v>
      </c>
    </row>
    <row r="123" spans="1:10" x14ac:dyDescent="0.25">
      <c r="A123" s="9">
        <f t="shared" si="4"/>
        <v>175000</v>
      </c>
    </row>
    <row r="124" spans="1:10" x14ac:dyDescent="0.25">
      <c r="A124" s="9">
        <f t="shared" si="4"/>
        <v>200000</v>
      </c>
    </row>
    <row r="125" spans="1:10" x14ac:dyDescent="0.25">
      <c r="A125" s="9">
        <f t="shared" si="4"/>
        <v>225000</v>
      </c>
    </row>
    <row r="126" spans="1:10" x14ac:dyDescent="0.25">
      <c r="A126" s="9">
        <f t="shared" si="4"/>
        <v>250000</v>
      </c>
    </row>
    <row r="127" spans="1:10" x14ac:dyDescent="0.25">
      <c r="A127" s="9">
        <f t="shared" si="4"/>
        <v>275000</v>
      </c>
    </row>
    <row r="128" spans="1:10" x14ac:dyDescent="0.25">
      <c r="A128" s="9">
        <f t="shared" si="4"/>
        <v>300000</v>
      </c>
    </row>
    <row r="129" spans="1:1" x14ac:dyDescent="0.25">
      <c r="A129" s="9">
        <f t="shared" si="4"/>
        <v>325000</v>
      </c>
    </row>
    <row r="130" spans="1:1" x14ac:dyDescent="0.25">
      <c r="A130" s="9">
        <f t="shared" si="4"/>
        <v>350000</v>
      </c>
    </row>
    <row r="131" spans="1:1" x14ac:dyDescent="0.25">
      <c r="A131" s="9">
        <f t="shared" si="4"/>
        <v>375000</v>
      </c>
    </row>
    <row r="132" spans="1:1" x14ac:dyDescent="0.25">
      <c r="A132" s="9">
        <f t="shared" si="4"/>
        <v>400000</v>
      </c>
    </row>
    <row r="133" spans="1:1" x14ac:dyDescent="0.25">
      <c r="A133" s="9">
        <f t="shared" si="4"/>
        <v>425000</v>
      </c>
    </row>
    <row r="134" spans="1:1" x14ac:dyDescent="0.25">
      <c r="A134" s="9">
        <f t="shared" si="4"/>
        <v>450000</v>
      </c>
    </row>
    <row r="135" spans="1:1" x14ac:dyDescent="0.25">
      <c r="A135" s="9">
        <f t="shared" si="4"/>
        <v>475000</v>
      </c>
    </row>
    <row r="136" spans="1:1" x14ac:dyDescent="0.25">
      <c r="A136" s="9">
        <f t="shared" si="4"/>
        <v>500000</v>
      </c>
    </row>
    <row r="137" spans="1:1" x14ac:dyDescent="0.25">
      <c r="A137" s="9">
        <f t="shared" si="4"/>
        <v>525000</v>
      </c>
    </row>
    <row r="138" spans="1:1" x14ac:dyDescent="0.25">
      <c r="A138" s="9">
        <f t="shared" si="4"/>
        <v>550000</v>
      </c>
    </row>
    <row r="139" spans="1:1" x14ac:dyDescent="0.25">
      <c r="A139" s="9">
        <f t="shared" si="4"/>
        <v>575000</v>
      </c>
    </row>
    <row r="140" spans="1:1" x14ac:dyDescent="0.25">
      <c r="A140" s="9">
        <f t="shared" si="4"/>
        <v>600000</v>
      </c>
    </row>
  </sheetData>
  <pageMargins left="0.7" right="0.7" top="0.75" bottom="0.75" header="0.3" footer="0.3"/>
  <pageSetup scale="5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401K Contribution Calculator</vt:lpstr>
      <vt:lpstr>401K Detailed Contributions</vt:lpstr>
      <vt:lpstr>401K General Reports</vt:lpstr>
      <vt:lpstr>'401K General Reports'!Print_Area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Smith</dc:creator>
  <cp:lastModifiedBy>Ryan Smith</cp:lastModifiedBy>
  <cp:lastPrinted>2020-01-28T23:19:57Z</cp:lastPrinted>
  <dcterms:created xsi:type="dcterms:W3CDTF">2019-12-18T02:00:15Z</dcterms:created>
  <dcterms:modified xsi:type="dcterms:W3CDTF">2020-02-07T01:49:17Z</dcterms:modified>
</cp:coreProperties>
</file>